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<sst xmlns="http://schemas.openxmlformats.org/spreadsheetml/2006/main" count="171" uniqueCount="123">
  <si>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</si>
  <si>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</si>
  <si>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</si>
  <si>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</si>
  <si>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</si>
  <si>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</si>
  <si>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</si>
  <si>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</si>
  <si>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</si>
  <si>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</si>
  <si>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</si>
  <si>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</si>
  <si>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</si>
  <si>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</si>
  <si>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</si>
  <si>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</si>
  <si>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</si>
  <si>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</si>
  <si>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</si>
  <si>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</si>
  <si>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</si>
  <si>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</si>
  <si>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</si>
  <si>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</si>
  <si>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</si>
  <si>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</si>
  <si>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</si>
  <si>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</si>
  <si>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</si>
  <si>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</si>
  <si>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</si>
  <si>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</si>
  <si>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</si>
  <si>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</si>
  <si>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</si>
  <si>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</si>
  <si>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</si>
  <si>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</si>
  <si>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</si>
  <si>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</si>
  <si>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</si>
  <si>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</si>
  <si>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</si>
  <si>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</si>
  <si>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</si>
  <si>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</si>
  <si>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</si>
  <si>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</si>
  <si>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</si>
  <si>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</si>
  <si>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</si>
  <si>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</si>
  <si>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</si>
  <si>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</si>
  <si>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</si>
  <si>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</si>
  <si>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</si>
  <si>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</si>
  <si>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</si>
  <si>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</si>
  <si>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</si>
  <si>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</si>
  <si>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</si>
  <si>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</si>
  <si>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</si>
  <si>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</si>
  <si>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</si>
  <si>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</si>
  <si>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</si>
  <si>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</si>
  <si>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</si>
  <si>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</si>
  <si>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</si>
  <si>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</si>
  <si>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</si>
  <si>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</si>
  <si>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</si>
  <si>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</si>
  <si>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</si>
  <si>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</si>
  <si>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</si>
  <si>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</si>
  <si>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</si>
  <si>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</si>
  <si>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</si>
  <si>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</si>
  <si>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</si>
  <si>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</si>
  <si>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</si>
  <si>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</si>
  <si>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</si>
  <si>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</si>
  <si>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</si>
  <si>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</si>
  <si>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</si>
  <si>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</si>
  <si>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</si>
  <si>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</si>
  <si>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</si>
  <si>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</si>
  <si>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</si>
  <si>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</si>
  <si>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</si>
  <si>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</si>
  <si>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</si>
  <si>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</si>
  <si>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</si>
  <si>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</si>
  <si>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</si>
  <si>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</si>
  <si>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</si>
  <si>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</si>
  <si>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</si>
  <si>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</si>
  <si>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</si>
  <si>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2-х місяців, тис.грн.</t>
  </si>
  <si>
    <t>План на рік, тис.грн.</t>
  </si>
  <si>
    <t>Відсоток виконання плану 2-х місяців</t>
  </si>
  <si>
    <t>Відхилення від плану 2-х місяців,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</si>
  <si>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</si>
  <si>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</si>
  <si>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</si>
  <si>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Аналіз використання коштів міського бюджету за 2016 рік станом на 19.02.2016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</si>
</sst>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5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6" xfId="0" applyNumberFormat="1" applyFont="1" applyFill="1" applyBorder="1" applyAlignment="1">
      <alignment wrapText="1"/>
    </xf>
    <xf numFmtId="174" fontId="4" fillId="0" borderId="16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6" xfId="0" applyNumberFormat="1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7" xfId="0" applyNumberFormat="1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6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74" fontId="4" fillId="24" borderId="15" xfId="0" applyNumberFormat="1" applyFont="1" applyFill="1" applyBorder="1" applyAlignment="1">
      <alignment/>
    </xf>
    <xf numFmtId="173" fontId="4" fillId="24" borderId="15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4" fillId="24" borderId="16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2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3" xfId="0" applyNumberFormat="1" applyFont="1" applyFill="1" applyBorder="1" applyAlignment="1">
      <alignment horizontal="right"/>
    </xf>
    <xf numFmtId="174" fontId="3" fillId="0" borderId="24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5" xfId="0" applyNumberFormat="1" applyFont="1" applyFill="1" applyBorder="1" applyAlignment="1">
      <alignment/>
    </xf>
    <xf numFmtId="173" fontId="3" fillId="0" borderId="2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/>
    </xf>
    <xf numFmtId="174" fontId="3" fillId="0" borderId="26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/>
    </xf>
    <xf numFmtId="173" fontId="58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12545.2</c:v>
                </c:pt>
                <c:pt idx="1">
                  <c:v>10620.7</c:v>
                </c:pt>
                <c:pt idx="2">
                  <c:v>802.4</c:v>
                </c:pt>
                <c:pt idx="3">
                  <c:v>1122.1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2820.0000000000005</c:v>
                </c:pt>
                <c:pt idx="1">
                  <c:v>2779.4</c:v>
                </c:pt>
                <c:pt idx="3">
                  <c:v>40.600000000000364</c:v>
                </c:pt>
              </c:numCache>
            </c:numRef>
          </c:val>
          <c:shape val="box"/>
        </c:ser>
        <c:shape val="box"/>
        <c:axId val="33481527"/>
        <c:axId val="32898288"/>
      </c:bar3DChart>
      <c:catAx>
        <c:axId val="33481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898288"/>
        <c:crosses val="autoZero"/>
        <c:auto val="1"/>
        <c:lblOffset val="100"/>
        <c:tickLblSkip val="1"/>
        <c:noMultiLvlLbl val="0"/>
      </c:catAx>
      <c:valAx>
        <c:axId val="32898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815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86927.3</c:v>
                </c:pt>
                <c:pt idx="1">
                  <c:v>40800.9</c:v>
                </c:pt>
                <c:pt idx="2">
                  <c:v>56790.4</c:v>
                </c:pt>
                <c:pt idx="3">
                  <c:v>2</c:v>
                </c:pt>
                <c:pt idx="4">
                  <c:v>4186.1</c:v>
                </c:pt>
                <c:pt idx="5">
                  <c:v>25515.3</c:v>
                </c:pt>
                <c:pt idx="6">
                  <c:v>40.6</c:v>
                </c:pt>
                <c:pt idx="7">
                  <c:v>392.9000000000036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22416</c:v>
                </c:pt>
                <c:pt idx="1">
                  <c:v>12950.400000000001</c:v>
                </c:pt>
                <c:pt idx="2">
                  <c:v>20461.2</c:v>
                </c:pt>
                <c:pt idx="4">
                  <c:v>655</c:v>
                </c:pt>
                <c:pt idx="5">
                  <c:v>1285.1000000000001</c:v>
                </c:pt>
                <c:pt idx="6">
                  <c:v>5</c:v>
                </c:pt>
                <c:pt idx="7">
                  <c:v>9.699999999999136</c:v>
                </c:pt>
              </c:numCache>
            </c:numRef>
          </c:val>
          <c:shape val="box"/>
        </c:ser>
        <c:shape val="box"/>
        <c:axId val="27649137"/>
        <c:axId val="47515642"/>
      </c:bar3DChart>
      <c:catAx>
        <c:axId val="27649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515642"/>
        <c:crosses val="autoZero"/>
        <c:auto val="1"/>
        <c:lblOffset val="100"/>
        <c:tickLblSkip val="1"/>
        <c:noMultiLvlLbl val="0"/>
      </c:catAx>
      <c:valAx>
        <c:axId val="475156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491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55760</c:v>
                </c:pt>
                <c:pt idx="1">
                  <c:v>42640.5</c:v>
                </c:pt>
                <c:pt idx="2">
                  <c:v>43512.6</c:v>
                </c:pt>
                <c:pt idx="3">
                  <c:v>3450.6</c:v>
                </c:pt>
                <c:pt idx="4">
                  <c:v>874.5</c:v>
                </c:pt>
                <c:pt idx="5">
                  <c:v>6334.3</c:v>
                </c:pt>
                <c:pt idx="6">
                  <c:v>363.5</c:v>
                </c:pt>
                <c:pt idx="7">
                  <c:v>1224.500000000001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16532.300000000003</c:v>
                </c:pt>
                <c:pt idx="1">
                  <c:v>12698.699999999999</c:v>
                </c:pt>
                <c:pt idx="2">
                  <c:v>14411.999999999998</c:v>
                </c:pt>
                <c:pt idx="3">
                  <c:v>627.9</c:v>
                </c:pt>
                <c:pt idx="4">
                  <c:v>271.5</c:v>
                </c:pt>
                <c:pt idx="5">
                  <c:v>1021.1999999999999</c:v>
                </c:pt>
                <c:pt idx="6">
                  <c:v>101.49999999999999</c:v>
                </c:pt>
                <c:pt idx="7">
                  <c:v>98.20000000000472</c:v>
                </c:pt>
              </c:numCache>
            </c:numRef>
          </c:val>
          <c:shape val="box"/>
        </c:ser>
        <c:shape val="box"/>
        <c:axId val="24987595"/>
        <c:axId val="23561764"/>
      </c:bar3DChart>
      <c:catAx>
        <c:axId val="24987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561764"/>
        <c:crosses val="autoZero"/>
        <c:auto val="1"/>
        <c:lblOffset val="100"/>
        <c:tickLblSkip val="1"/>
        <c:noMultiLvlLbl val="0"/>
      </c:catAx>
      <c:valAx>
        <c:axId val="235617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875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11330.2</c:v>
                </c:pt>
                <c:pt idx="1">
                  <c:v>8148.9</c:v>
                </c:pt>
                <c:pt idx="2">
                  <c:v>734.3</c:v>
                </c:pt>
                <c:pt idx="3">
                  <c:v>176.6</c:v>
                </c:pt>
                <c:pt idx="4">
                  <c:v>15.3</c:v>
                </c:pt>
                <c:pt idx="5">
                  <c:v>2255.100000000001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3128.1</c:v>
                </c:pt>
                <c:pt idx="1">
                  <c:v>2603.2</c:v>
                </c:pt>
                <c:pt idx="2">
                  <c:v>10.5</c:v>
                </c:pt>
                <c:pt idx="3">
                  <c:v>50.9</c:v>
                </c:pt>
                <c:pt idx="4">
                  <c:v>5.1</c:v>
                </c:pt>
                <c:pt idx="5">
                  <c:v>458.4000000000001</c:v>
                </c:pt>
              </c:numCache>
            </c:numRef>
          </c:val>
          <c:shape val="box"/>
        </c:ser>
        <c:shape val="box"/>
        <c:axId val="10729285"/>
        <c:axId val="29454702"/>
      </c:bar3DChart>
      <c:catAx>
        <c:axId val="10729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454702"/>
        <c:crosses val="autoZero"/>
        <c:auto val="1"/>
        <c:lblOffset val="100"/>
        <c:tickLblSkip val="1"/>
        <c:noMultiLvlLbl val="0"/>
      </c:catAx>
      <c:valAx>
        <c:axId val="294547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292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5"/>
                <c:pt idx="0">
                  <c:v>3799</c:v>
                </c:pt>
                <c:pt idx="1">
                  <c:v>2694.2</c:v>
                </c:pt>
                <c:pt idx="2">
                  <c:v>48.5</c:v>
                </c:pt>
                <c:pt idx="3">
                  <c:v>203.6</c:v>
                </c:pt>
                <c:pt idx="4">
                  <c:v>852.7000000000002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5"/>
                <c:pt idx="0">
                  <c:v>934.4999999999999</c:v>
                </c:pt>
                <c:pt idx="1">
                  <c:v>740.5999999999999</c:v>
                </c:pt>
                <c:pt idx="2">
                  <c:v>2</c:v>
                </c:pt>
                <c:pt idx="3">
                  <c:v>11.299999999999999</c:v>
                </c:pt>
                <c:pt idx="4">
                  <c:v>180.59999999999997</c:v>
                </c:pt>
              </c:numCache>
            </c:numRef>
          </c:val>
          <c:shape val="box"/>
        </c:ser>
        <c:shape val="box"/>
        <c:axId val="63765727"/>
        <c:axId val="37020632"/>
      </c:bar3DChart>
      <c:catAx>
        <c:axId val="63765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020632"/>
        <c:crosses val="autoZero"/>
        <c:auto val="1"/>
        <c:lblOffset val="100"/>
        <c:tickLblSkip val="2"/>
        <c:noMultiLvlLbl val="0"/>
      </c:catAx>
      <c:valAx>
        <c:axId val="37020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657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1372.3</c:v>
                </c:pt>
                <c:pt idx="1">
                  <c:v>424.5</c:v>
                </c:pt>
                <c:pt idx="2">
                  <c:v>75</c:v>
                </c:pt>
                <c:pt idx="3">
                  <c:v>164.4</c:v>
                </c:pt>
                <c:pt idx="4">
                  <c:v>669.5</c:v>
                </c:pt>
                <c:pt idx="5">
                  <c:v>38.89999999999998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121</c:v>
                </c:pt>
                <c:pt idx="1">
                  <c:v>116.3</c:v>
                </c:pt>
                <c:pt idx="3">
                  <c:v>4.7</c:v>
                </c:pt>
                <c:pt idx="5">
                  <c:v>2.6645352591003757E-15</c:v>
                </c:pt>
              </c:numCache>
            </c:numRef>
          </c:val>
          <c:shape val="box"/>
        </c:ser>
        <c:shape val="box"/>
        <c:axId val="64750233"/>
        <c:axId val="45881186"/>
      </c:bar3DChart>
      <c:catAx>
        <c:axId val="64750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881186"/>
        <c:crosses val="autoZero"/>
        <c:auto val="1"/>
        <c:lblOffset val="100"/>
        <c:tickLblSkip val="1"/>
        <c:noMultiLvlLbl val="0"/>
      </c:catAx>
      <c:valAx>
        <c:axId val="458811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502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4269.8</c:v>
                </c:pt>
              </c:numCache>
            </c:numRef>
          </c:val>
          <c:shape val="box"/>
        </c:ser>
        <c:shape val="box"/>
        <c:axId val="10277491"/>
        <c:axId val="25388556"/>
      </c:bar3DChart>
      <c:catAx>
        <c:axId val="10277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388556"/>
        <c:crosses val="autoZero"/>
        <c:auto val="1"/>
        <c:lblOffset val="100"/>
        <c:tickLblSkip val="1"/>
        <c:noMultiLvlLbl val="0"/>
      </c:catAx>
      <c:valAx>
        <c:axId val="253885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774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86927.3</c:v>
                </c:pt>
                <c:pt idx="1">
                  <c:v>55760</c:v>
                </c:pt>
                <c:pt idx="2">
                  <c:v>11330.2</c:v>
                </c:pt>
                <c:pt idx="3">
                  <c:v>3799</c:v>
                </c:pt>
                <c:pt idx="4">
                  <c:v>1372.3</c:v>
                </c:pt>
                <c:pt idx="5">
                  <c:v>12545.2</c:v>
                </c:pt>
                <c:pt idx="6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22416</c:v>
                </c:pt>
                <c:pt idx="1">
                  <c:v>16532.300000000003</c:v>
                </c:pt>
                <c:pt idx="2">
                  <c:v>3128.1</c:v>
                </c:pt>
                <c:pt idx="3">
                  <c:v>934.4999999999999</c:v>
                </c:pt>
                <c:pt idx="4">
                  <c:v>121</c:v>
                </c:pt>
                <c:pt idx="5">
                  <c:v>2820.0000000000005</c:v>
                </c:pt>
                <c:pt idx="6">
                  <c:v>4269.8</c:v>
                </c:pt>
              </c:numCache>
            </c:numRef>
          </c:val>
          <c:shape val="box"/>
        </c:ser>
        <c:shape val="box"/>
        <c:axId val="27170413"/>
        <c:axId val="43207126"/>
      </c:bar3DChart>
      <c:catAx>
        <c:axId val="27170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207126"/>
        <c:crosses val="autoZero"/>
        <c:auto val="1"/>
        <c:lblOffset val="100"/>
        <c:tickLblSkip val="1"/>
        <c:noMultiLvlLbl val="0"/>
      </c:catAx>
      <c:valAx>
        <c:axId val="432071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704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124094.59999999998</c:v>
                </c:pt>
                <c:pt idx="1">
                  <c:v>35678.700000000004</c:v>
                </c:pt>
                <c:pt idx="2">
                  <c:v>5199.3</c:v>
                </c:pt>
                <c:pt idx="3">
                  <c:v>3418.4</c:v>
                </c:pt>
                <c:pt idx="4">
                  <c:v>3452.9</c:v>
                </c:pt>
                <c:pt idx="5">
                  <c:v>37685.50000000004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41678.5</c:v>
                </c:pt>
                <c:pt idx="1">
                  <c:v>2392.3</c:v>
                </c:pt>
                <c:pt idx="2">
                  <c:v>928.5</c:v>
                </c:pt>
                <c:pt idx="3">
                  <c:v>563.3</c:v>
                </c:pt>
                <c:pt idx="4">
                  <c:v>627.9</c:v>
                </c:pt>
                <c:pt idx="5">
                  <c:v>7697.900000000003</c:v>
                </c:pt>
              </c:numCache>
            </c:numRef>
          </c:val>
          <c:shape val="box"/>
        </c:ser>
        <c:shape val="box"/>
        <c:axId val="53319815"/>
        <c:axId val="10116288"/>
      </c:bar3DChart>
      <c:catAx>
        <c:axId val="53319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116288"/>
        <c:crosses val="autoZero"/>
        <c:auto val="1"/>
        <c:lblOffset val="100"/>
        <c:tickLblSkip val="1"/>
        <c:noMultiLvlLbl val="0"/>
      </c:catAx>
      <c:valAx>
        <c:axId val="10116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198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115</v>
      </c>
      <c r="C3" s="135" t="s">
        <v>116</v>
      </c>
      <c r="D3" s="135" t="s">
        <v>28</v>
      </c>
      <c r="E3" s="135" t="s">
        <v>27</v>
      </c>
      <c r="F3" s="135" t="s">
        <v>117</v>
      </c>
      <c r="G3" s="135" t="s">
        <v>120</v>
      </c>
      <c r="H3" s="135" t="s">
        <v>118</v>
      </c>
      <c r="I3" s="135" t="s">
        <v>119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v>74836.6</v>
      </c>
      <c r="C6" s="50">
        <v>426773.1</v>
      </c>
      <c r="D6" s="51">
        <f>3665.2+5419.3+785.5+220.1+4705.1+6727.5+675.5+217.6+0.2+117.8+63.8+2988.6+54.7+4050.2+6796.2+2.3+3434.8+4933.2</f>
        <v>44857.6</v>
      </c>
      <c r="E6" s="3">
        <f>D6/D149*100</f>
        <v>35.3067109952523</v>
      </c>
      <c r="F6" s="3">
        <f>D6/B6*100</f>
        <v>59.940724191104344</v>
      </c>
      <c r="G6" s="3">
        <f aca="true" t="shared" si="0" ref="G6:G43">D6/C6*100</f>
        <v>10.510878028629266</v>
      </c>
      <c r="H6" s="51">
        <f>B6-D6</f>
        <v>29979.000000000007</v>
      </c>
      <c r="I6" s="51">
        <f aca="true" t="shared" si="1" ref="I6:I43">C6-D6</f>
        <v>381915.5</v>
      </c>
    </row>
    <row r="7" spans="1:9" s="41" customFormat="1" ht="18.75">
      <c r="A7" s="112" t="s">
        <v>101</v>
      </c>
      <c r="B7" s="105">
        <v>27210.8</v>
      </c>
      <c r="C7" s="102">
        <v>185717.4</v>
      </c>
      <c r="D7" s="113">
        <f>5419.3+86.3+97.4+56.7+6727.5+560.1+2.9+0.2+1.9+63.8+1046.3+6719.3+1648.4</f>
        <v>22430.100000000002</v>
      </c>
      <c r="E7" s="103">
        <f>D7/D6*100</f>
        <v>50.002898059637616</v>
      </c>
      <c r="F7" s="103">
        <f>D7/B7*100</f>
        <v>82.43087303570643</v>
      </c>
      <c r="G7" s="103">
        <f>D7/C7*100</f>
        <v>12.07754362273002</v>
      </c>
      <c r="H7" s="113">
        <f>B7-D7</f>
        <v>4780.699999999997</v>
      </c>
      <c r="I7" s="113">
        <f t="shared" si="1"/>
        <v>163287.3</v>
      </c>
    </row>
    <row r="8" spans="1:9" ht="18">
      <c r="A8" s="26" t="s">
        <v>3</v>
      </c>
      <c r="B8" s="46">
        <v>46642.1</v>
      </c>
      <c r="C8" s="47">
        <v>298081.6</v>
      </c>
      <c r="D8" s="48">
        <f>3665.2+5419.3+4645.9+6727.5+3.3+4022.1+5553.6+3348.6</f>
        <v>33385.5</v>
      </c>
      <c r="E8" s="1">
        <f>D8/D6*100</f>
        <v>74.42551540876016</v>
      </c>
      <c r="F8" s="1">
        <f>D8/B8*100</f>
        <v>71.57803786707717</v>
      </c>
      <c r="G8" s="1">
        <f t="shared" si="0"/>
        <v>11.200121040681479</v>
      </c>
      <c r="H8" s="48">
        <f>B8-D8</f>
        <v>13256.599999999999</v>
      </c>
      <c r="I8" s="48">
        <f t="shared" si="1"/>
        <v>264696.1</v>
      </c>
    </row>
    <row r="9" spans="1:9" ht="18">
      <c r="A9" s="26" t="s">
        <v>2</v>
      </c>
      <c r="B9" s="46">
        <v>10.6</v>
      </c>
      <c r="C9" s="47">
        <v>85.7</v>
      </c>
      <c r="D9" s="48"/>
      <c r="E9" s="12">
        <f>D9/D6*100</f>
        <v>0</v>
      </c>
      <c r="F9" s="128">
        <f>D9/B9*100</f>
        <v>0</v>
      </c>
      <c r="G9" s="1">
        <f t="shared" si="0"/>
        <v>0</v>
      </c>
      <c r="H9" s="48">
        <f aca="true" t="shared" si="2" ref="H9:H43">B9-D9</f>
        <v>10.6</v>
      </c>
      <c r="I9" s="48">
        <f t="shared" si="1"/>
        <v>85.7</v>
      </c>
    </row>
    <row r="10" spans="1:9" ht="18">
      <c r="A10" s="26" t="s">
        <v>1</v>
      </c>
      <c r="B10" s="46">
        <v>5526.9</v>
      </c>
      <c r="C10" s="47">
        <v>28052.9</v>
      </c>
      <c r="D10" s="52">
        <f>345.3+106.4+54.5+56.4+92.4+115.9+196.4+52.1+68.7+86.2</f>
        <v>1174.3</v>
      </c>
      <c r="E10" s="1">
        <f>D10/D6*100</f>
        <v>2.6178395634184617</v>
      </c>
      <c r="F10" s="1">
        <f aca="true" t="shared" si="3" ref="F10:F41">D10/B10*100</f>
        <v>21.24699198465686</v>
      </c>
      <c r="G10" s="1">
        <f t="shared" si="0"/>
        <v>4.186019983673702</v>
      </c>
      <c r="H10" s="48">
        <f t="shared" si="2"/>
        <v>4352.599999999999</v>
      </c>
      <c r="I10" s="48">
        <f t="shared" si="1"/>
        <v>26878.600000000002</v>
      </c>
    </row>
    <row r="11" spans="1:9" ht="18">
      <c r="A11" s="26" t="s">
        <v>0</v>
      </c>
      <c r="B11" s="46">
        <v>18382</v>
      </c>
      <c r="C11" s="47">
        <v>71654.8</v>
      </c>
      <c r="D11" s="53">
        <f>435.2+111+615.5+123.2+0.2+1.9+63.8+2790+1.3+13.9+1170.1+0.8+3680.6</f>
        <v>9007.5</v>
      </c>
      <c r="E11" s="1">
        <f>D11/D6*100</f>
        <v>20.080209373662434</v>
      </c>
      <c r="F11" s="1">
        <f t="shared" si="3"/>
        <v>49.001740833424</v>
      </c>
      <c r="G11" s="1">
        <f t="shared" si="0"/>
        <v>12.570686122911514</v>
      </c>
      <c r="H11" s="48">
        <f t="shared" si="2"/>
        <v>9374.5</v>
      </c>
      <c r="I11" s="48">
        <f t="shared" si="1"/>
        <v>62647.3</v>
      </c>
    </row>
    <row r="12" spans="1:9" ht="18">
      <c r="A12" s="26" t="s">
        <v>15</v>
      </c>
      <c r="B12" s="46">
        <v>2572.6</v>
      </c>
      <c r="C12" s="47">
        <v>14712</v>
      </c>
      <c r="D12" s="48">
        <f>5+12.7+3.8+1250.6</f>
        <v>1272.1</v>
      </c>
      <c r="E12" s="1">
        <f>D12/D6*100</f>
        <v>2.8358628192324153</v>
      </c>
      <c r="F12" s="1">
        <f t="shared" si="3"/>
        <v>49.44802923112804</v>
      </c>
      <c r="G12" s="1">
        <f t="shared" si="0"/>
        <v>8.646682979880369</v>
      </c>
      <c r="H12" s="48">
        <f t="shared" si="2"/>
        <v>1300.5</v>
      </c>
      <c r="I12" s="48">
        <f t="shared" si="1"/>
        <v>13439.9</v>
      </c>
    </row>
    <row r="13" spans="1:9" ht="18.75" thickBot="1">
      <c r="A13" s="26" t="s">
        <v>34</v>
      </c>
      <c r="B13" s="47">
        <f>B6-B8-B9-B10-B11-B12</f>
        <v>1702.4000000000074</v>
      </c>
      <c r="C13" s="47">
        <f>C6-C8-C9-C10-C11-C12</f>
        <v>14186.099999999991</v>
      </c>
      <c r="D13" s="47">
        <f>D6-D8-D9-D10-D11-D12</f>
        <v>18.199999999999363</v>
      </c>
      <c r="E13" s="1">
        <f>D13/D6*100</f>
        <v>0.040572834926521625</v>
      </c>
      <c r="F13" s="1">
        <f t="shared" si="3"/>
        <v>1.069078947368379</v>
      </c>
      <c r="G13" s="1">
        <f t="shared" si="0"/>
        <v>0.12829459823347766</v>
      </c>
      <c r="H13" s="48">
        <f t="shared" si="2"/>
        <v>1684.200000000008</v>
      </c>
      <c r="I13" s="48">
        <f t="shared" si="1"/>
        <v>14167.899999999992</v>
      </c>
    </row>
    <row r="14" spans="1:9" s="41" customFormat="1" ht="18.75" customHeight="1" hidden="1">
      <c r="A14" s="104" t="s">
        <v>80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77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78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79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38443.2</v>
      </c>
      <c r="C18" s="50">
        <v>250434.1</v>
      </c>
      <c r="D18" s="51">
        <f>5722.2+538+9070.5+238.7+827+135.9+565.7+282.3+195.5+508.6+5725.7+2584.4</f>
        <v>26394.500000000004</v>
      </c>
      <c r="E18" s="3">
        <f>D18/D149*100</f>
        <v>20.774695555807426</v>
      </c>
      <c r="F18" s="3">
        <f>D18/B18*100</f>
        <v>68.6584363424481</v>
      </c>
      <c r="G18" s="3">
        <f t="shared" si="0"/>
        <v>10.539499213565566</v>
      </c>
      <c r="H18" s="51">
        <f>B18-D18</f>
        <v>12048.699999999993</v>
      </c>
      <c r="I18" s="51">
        <f t="shared" si="1"/>
        <v>224039.6</v>
      </c>
    </row>
    <row r="19" spans="1:9" s="41" customFormat="1" ht="18.75">
      <c r="A19" s="112" t="s">
        <v>102</v>
      </c>
      <c r="B19" s="105">
        <v>29342.1</v>
      </c>
      <c r="C19" s="102">
        <v>188049.2</v>
      </c>
      <c r="D19" s="113">
        <f>5722.2+537+5375.9+205.8+772.6+85.2+565.7+282.3+110.6+420+5725.7+2458.6</f>
        <v>22261.6</v>
      </c>
      <c r="E19" s="103">
        <f>D19/D18*100</f>
        <v>84.34181363541646</v>
      </c>
      <c r="F19" s="103">
        <f t="shared" si="3"/>
        <v>75.86914365365806</v>
      </c>
      <c r="G19" s="103">
        <f t="shared" si="0"/>
        <v>11.83817851923858</v>
      </c>
      <c r="H19" s="113">
        <f t="shared" si="2"/>
        <v>7080.5</v>
      </c>
      <c r="I19" s="113">
        <f t="shared" si="1"/>
        <v>165787.6</v>
      </c>
    </row>
    <row r="20" spans="1:9" ht="18">
      <c r="A20" s="26" t="s">
        <v>5</v>
      </c>
      <c r="B20" s="46">
        <v>29710.9</v>
      </c>
      <c r="C20" s="47">
        <v>186641.3</v>
      </c>
      <c r="D20" s="48">
        <f>5722.2+1+8655.9+32.9+2.4+5725.7</f>
        <v>20140.1</v>
      </c>
      <c r="E20" s="1">
        <f>D20/D18*100</f>
        <v>76.30415427456477</v>
      </c>
      <c r="F20" s="1">
        <f t="shared" si="3"/>
        <v>67.78690648886435</v>
      </c>
      <c r="G20" s="1">
        <f t="shared" si="0"/>
        <v>10.790805679128896</v>
      </c>
      <c r="H20" s="48">
        <f t="shared" si="2"/>
        <v>9570.800000000003</v>
      </c>
      <c r="I20" s="48">
        <f t="shared" si="1"/>
        <v>166501.19999999998</v>
      </c>
    </row>
    <row r="21" spans="1:9" ht="18">
      <c r="A21" s="26" t="s">
        <v>2</v>
      </c>
      <c r="B21" s="46">
        <v>2137.5</v>
      </c>
      <c r="C21" s="47">
        <v>20454.1</v>
      </c>
      <c r="D21" s="48">
        <f>80.5+183.6+169.4+194.4+100+1.7+148.4+215.7+278.3</f>
        <v>1372</v>
      </c>
      <c r="E21" s="1">
        <f>D21/D18*100</f>
        <v>5.198052624599821</v>
      </c>
      <c r="F21" s="1">
        <f t="shared" si="3"/>
        <v>64.18713450292398</v>
      </c>
      <c r="G21" s="1">
        <f t="shared" si="0"/>
        <v>6.7077016343911495</v>
      </c>
      <c r="H21" s="48">
        <f t="shared" si="2"/>
        <v>765.5</v>
      </c>
      <c r="I21" s="48">
        <f t="shared" si="1"/>
        <v>19082.1</v>
      </c>
    </row>
    <row r="22" spans="1:9" ht="18">
      <c r="A22" s="26" t="s">
        <v>1</v>
      </c>
      <c r="B22" s="46">
        <v>618.4</v>
      </c>
      <c r="C22" s="47">
        <v>3917.9</v>
      </c>
      <c r="D22" s="48">
        <f>127.7+23.6+33.5+86.7+19.5+2.9+78.1</f>
        <v>372</v>
      </c>
      <c r="E22" s="1">
        <f>D22/D18*100</f>
        <v>1.409384530868173</v>
      </c>
      <c r="F22" s="1">
        <f t="shared" si="3"/>
        <v>60.15523932729625</v>
      </c>
      <c r="G22" s="1">
        <f t="shared" si="0"/>
        <v>9.494882462543709</v>
      </c>
      <c r="H22" s="48">
        <f t="shared" si="2"/>
        <v>246.39999999999998</v>
      </c>
      <c r="I22" s="48">
        <f t="shared" si="1"/>
        <v>3545.9</v>
      </c>
    </row>
    <row r="23" spans="1:9" ht="18">
      <c r="A23" s="26" t="s">
        <v>0</v>
      </c>
      <c r="B23" s="46">
        <v>5035.8</v>
      </c>
      <c r="C23" s="47">
        <v>27804.4</v>
      </c>
      <c r="D23" s="48">
        <f>230.7+158.8+520.8+110.9+465.7+246.3+3.9+169.6+1975.3</f>
        <v>3882</v>
      </c>
      <c r="E23" s="1">
        <f>D23/D18*100</f>
        <v>14.70760953986626</v>
      </c>
      <c r="F23" s="1">
        <f t="shared" si="3"/>
        <v>77.08804956511378</v>
      </c>
      <c r="G23" s="1">
        <f t="shared" si="0"/>
        <v>13.961818992677417</v>
      </c>
      <c r="H23" s="48">
        <f t="shared" si="2"/>
        <v>1153.8000000000002</v>
      </c>
      <c r="I23" s="48">
        <f t="shared" si="1"/>
        <v>23922.4</v>
      </c>
    </row>
    <row r="24" spans="1:9" ht="18">
      <c r="A24" s="26" t="s">
        <v>15</v>
      </c>
      <c r="B24" s="46">
        <v>248.4</v>
      </c>
      <c r="C24" s="47">
        <v>1591.6</v>
      </c>
      <c r="D24" s="48">
        <f>73.6+22.6+5.3+2.4+2.5+128.1</f>
        <v>234.5</v>
      </c>
      <c r="E24" s="1">
        <f>D24/D18*100</f>
        <v>0.8884426679800714</v>
      </c>
      <c r="F24" s="1">
        <f t="shared" si="3"/>
        <v>94.40418679549114</v>
      </c>
      <c r="G24" s="1">
        <f t="shared" si="0"/>
        <v>14.733601407388791</v>
      </c>
      <c r="H24" s="48">
        <f t="shared" si="2"/>
        <v>13.900000000000006</v>
      </c>
      <c r="I24" s="48">
        <f t="shared" si="1"/>
        <v>1357.1</v>
      </c>
    </row>
    <row r="25" spans="1:9" ht="18.75" thickBot="1">
      <c r="A25" s="26" t="s">
        <v>34</v>
      </c>
      <c r="B25" s="47">
        <f>B18-B20-B21-B22-B23-B24</f>
        <v>692.1999999999958</v>
      </c>
      <c r="C25" s="47">
        <f>C18-C20-C21-C22-C23-C24</f>
        <v>10024.800000000016</v>
      </c>
      <c r="D25" s="47">
        <f>D18-D20-D21-D22-D23-D24</f>
        <v>393.9000000000051</v>
      </c>
      <c r="E25" s="1">
        <f>D25/D18*100</f>
        <v>1.4923563621209155</v>
      </c>
      <c r="F25" s="1">
        <f t="shared" si="3"/>
        <v>56.905518636233374</v>
      </c>
      <c r="G25" s="1">
        <f t="shared" si="0"/>
        <v>3.929255446492743</v>
      </c>
      <c r="H25" s="48">
        <f t="shared" si="2"/>
        <v>298.29999999999075</v>
      </c>
      <c r="I25" s="48">
        <f t="shared" si="1"/>
        <v>9630.90000000001</v>
      </c>
    </row>
    <row r="26" spans="1:9" ht="57" hidden="1" thickBot="1">
      <c r="A26" s="104" t="s">
        <v>88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89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90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91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92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93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94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8258.7</v>
      </c>
      <c r="C33" s="50">
        <v>50266.1</v>
      </c>
      <c r="D33" s="54">
        <f>1335+343.1+78.5+19.5+60.6+1286.4+5+525.1+62.5+112+1.7+1386+0.2+29.8+71.3+135.1</f>
        <v>5451.8</v>
      </c>
      <c r="E33" s="3">
        <f>D33/D149*100</f>
        <v>4.291025980077324</v>
      </c>
      <c r="F33" s="3">
        <f>D33/B33*100</f>
        <v>66.01281073292407</v>
      </c>
      <c r="G33" s="3">
        <f t="shared" si="0"/>
        <v>10.84587823602786</v>
      </c>
      <c r="H33" s="51">
        <f t="shared" si="2"/>
        <v>2806.9000000000005</v>
      </c>
      <c r="I33" s="51">
        <f t="shared" si="1"/>
        <v>44814.299999999996</v>
      </c>
    </row>
    <row r="34" spans="1:9" ht="18">
      <c r="A34" s="26" t="s">
        <v>3</v>
      </c>
      <c r="B34" s="46">
        <v>5403.2</v>
      </c>
      <c r="C34" s="47">
        <v>35016.6</v>
      </c>
      <c r="D34" s="48">
        <f>1335+1268.2+1354.9</f>
        <v>3958.1</v>
      </c>
      <c r="E34" s="1">
        <f>D34/D33*100</f>
        <v>72.60170952712866</v>
      </c>
      <c r="F34" s="1">
        <f t="shared" si="3"/>
        <v>73.2547379330767</v>
      </c>
      <c r="G34" s="1">
        <f t="shared" si="0"/>
        <v>11.303496056156224</v>
      </c>
      <c r="H34" s="48">
        <f t="shared" si="2"/>
        <v>1445.1</v>
      </c>
      <c r="I34" s="48">
        <f t="shared" si="1"/>
        <v>31058.5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793.3</v>
      </c>
      <c r="C36" s="47">
        <v>3384.4</v>
      </c>
      <c r="D36" s="48">
        <f>10.5+61.2+112+1.1+10.5+29.3+0.6+6.8</f>
        <v>232</v>
      </c>
      <c r="E36" s="1">
        <f>D36/D33*100</f>
        <v>4.255475255878792</v>
      </c>
      <c r="F36" s="1">
        <f t="shared" si="3"/>
        <v>29.244926257405773</v>
      </c>
      <c r="G36" s="1">
        <f t="shared" si="0"/>
        <v>6.854981680652406</v>
      </c>
      <c r="H36" s="48">
        <f t="shared" si="2"/>
        <v>561.3</v>
      </c>
      <c r="I36" s="48">
        <f t="shared" si="1"/>
        <v>3152.4</v>
      </c>
    </row>
    <row r="37" spans="1:9" s="41" customFormat="1" ht="18.75">
      <c r="A37" s="20" t="s">
        <v>7</v>
      </c>
      <c r="B37" s="55">
        <v>71.1</v>
      </c>
      <c r="C37" s="56">
        <v>929.3</v>
      </c>
      <c r="D37" s="57">
        <f>11.2+19.5+15.2+5</f>
        <v>50.9</v>
      </c>
      <c r="E37" s="17">
        <f>D37/D33*100</f>
        <v>0.9336365970872005</v>
      </c>
      <c r="F37" s="17">
        <f t="shared" si="3"/>
        <v>71.58931082981717</v>
      </c>
      <c r="G37" s="17">
        <f t="shared" si="0"/>
        <v>5.477240934036372</v>
      </c>
      <c r="H37" s="57">
        <f t="shared" si="2"/>
        <v>20.199999999999996</v>
      </c>
      <c r="I37" s="57">
        <f t="shared" si="1"/>
        <v>878.4</v>
      </c>
    </row>
    <row r="38" spans="1:9" ht="18">
      <c r="A38" s="26" t="s">
        <v>15</v>
      </c>
      <c r="B38" s="46">
        <v>10.2</v>
      </c>
      <c r="C38" s="47">
        <v>60.8</v>
      </c>
      <c r="D38" s="47">
        <f>5.1+5.1</f>
        <v>10.2</v>
      </c>
      <c r="E38" s="1">
        <f>D38/D33*100</f>
        <v>0.18709417073260207</v>
      </c>
      <c r="F38" s="1">
        <f t="shared" si="3"/>
        <v>100</v>
      </c>
      <c r="G38" s="1">
        <f t="shared" si="0"/>
        <v>16.776315789473685</v>
      </c>
      <c r="H38" s="48">
        <f t="shared" si="2"/>
        <v>0</v>
      </c>
      <c r="I38" s="48">
        <f t="shared" si="1"/>
        <v>50.599999999999994</v>
      </c>
    </row>
    <row r="39" spans="1:9" ht="18.75" thickBot="1">
      <c r="A39" s="26" t="s">
        <v>34</v>
      </c>
      <c r="B39" s="46">
        <f>B33-B34-B36-B37-B35-B38</f>
        <v>1980.9000000000008</v>
      </c>
      <c r="C39" s="46">
        <f>C33-C34-C36-C37-C35-C38</f>
        <v>10875.000000000002</v>
      </c>
      <c r="D39" s="46">
        <f>D33-D34-D36-D37-D35-D38</f>
        <v>1200.6000000000001</v>
      </c>
      <c r="E39" s="1">
        <f>D39/D33*100</f>
        <v>22.022084449172752</v>
      </c>
      <c r="F39" s="1">
        <f t="shared" si="3"/>
        <v>60.60881417537482</v>
      </c>
      <c r="G39" s="1">
        <f t="shared" si="0"/>
        <v>11.04</v>
      </c>
      <c r="H39" s="48">
        <f>B39-D39</f>
        <v>780.3000000000006</v>
      </c>
      <c r="I39" s="48">
        <f t="shared" si="1"/>
        <v>9674.400000000001</v>
      </c>
    </row>
    <row r="40" spans="1:9" ht="19.5" hidden="1" thickBot="1">
      <c r="A40" s="104" t="s">
        <v>85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86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87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v>138.2</v>
      </c>
      <c r="C43" s="50">
        <v>829.5</v>
      </c>
      <c r="D43" s="51">
        <f>22.2+3</f>
        <v>25.2</v>
      </c>
      <c r="E43" s="3">
        <f>D43/D149*100</f>
        <v>0.019834523404737618</v>
      </c>
      <c r="F43" s="3">
        <f>D43/B43*100</f>
        <v>18.234442836468887</v>
      </c>
      <c r="G43" s="3">
        <f t="shared" si="0"/>
        <v>3.0379746835443036</v>
      </c>
      <c r="H43" s="51">
        <f t="shared" si="2"/>
        <v>112.99999999999999</v>
      </c>
      <c r="I43" s="51">
        <f t="shared" si="1"/>
        <v>804.3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1219.8</v>
      </c>
      <c r="C45" s="50">
        <v>7741.6</v>
      </c>
      <c r="D45" s="51">
        <f>224.1+260.8+14.4+236.4+3.2</f>
        <v>738.9</v>
      </c>
      <c r="E45" s="3">
        <f>D45/D149*100</f>
        <v>0.5815765612603423</v>
      </c>
      <c r="F45" s="3">
        <f>D45/B45*100</f>
        <v>60.57550418101329</v>
      </c>
      <c r="G45" s="3">
        <f aca="true" t="shared" si="4" ref="G45:G75">D45/C45*100</f>
        <v>9.544538596672522</v>
      </c>
      <c r="H45" s="51">
        <f>B45-D45</f>
        <v>480.9</v>
      </c>
      <c r="I45" s="51">
        <f aca="true" t="shared" si="5" ref="I45:I76">C45-D45</f>
        <v>7002.700000000001</v>
      </c>
    </row>
    <row r="46" spans="1:9" ht="18">
      <c r="A46" s="26" t="s">
        <v>3</v>
      </c>
      <c r="B46" s="46">
        <v>1035.2</v>
      </c>
      <c r="C46" s="47">
        <v>6753.6</v>
      </c>
      <c r="D46" s="48">
        <f>224.1+258.6+235.3</f>
        <v>718</v>
      </c>
      <c r="E46" s="1">
        <f>D46/D45*100</f>
        <v>97.17147110569766</v>
      </c>
      <c r="F46" s="1">
        <f aca="true" t="shared" si="6" ref="F46:F73">D46/B46*100</f>
        <v>69.35857805255023</v>
      </c>
      <c r="G46" s="1">
        <f t="shared" si="4"/>
        <v>10.631366974650556</v>
      </c>
      <c r="H46" s="48">
        <f aca="true" t="shared" si="7" ref="H46:H73">B46-D46</f>
        <v>317.20000000000005</v>
      </c>
      <c r="I46" s="48">
        <f t="shared" si="5"/>
        <v>6035.6</v>
      </c>
    </row>
    <row r="47" spans="1:9" ht="18">
      <c r="A47" s="26" t="s">
        <v>2</v>
      </c>
      <c r="B47" s="46">
        <v>0</v>
      </c>
      <c r="C47" s="47">
        <v>1.3</v>
      </c>
      <c r="D47" s="48"/>
      <c r="E47" s="1">
        <f>D47/D45*100</f>
        <v>0</v>
      </c>
      <c r="F47" s="111" t="e">
        <f t="shared" si="6"/>
        <v>#DIV/0!</v>
      </c>
      <c r="G47" s="1">
        <f t="shared" si="4"/>
        <v>0</v>
      </c>
      <c r="H47" s="48">
        <f t="shared" si="7"/>
        <v>0</v>
      </c>
      <c r="I47" s="48">
        <f t="shared" si="5"/>
        <v>1.3</v>
      </c>
    </row>
    <row r="48" spans="1:9" ht="18">
      <c r="A48" s="26" t="s">
        <v>1</v>
      </c>
      <c r="B48" s="46">
        <v>6.6</v>
      </c>
      <c r="C48" s="47">
        <v>70.7</v>
      </c>
      <c r="D48" s="48">
        <f>0.2+2.1</f>
        <v>2.3000000000000003</v>
      </c>
      <c r="E48" s="1">
        <f>D48/D45*100</f>
        <v>0.3112735146839898</v>
      </c>
      <c r="F48" s="1">
        <f t="shared" si="6"/>
        <v>34.84848484848486</v>
      </c>
      <c r="G48" s="1">
        <f t="shared" si="4"/>
        <v>3.253182461103253</v>
      </c>
      <c r="H48" s="48">
        <f t="shared" si="7"/>
        <v>4.299999999999999</v>
      </c>
      <c r="I48" s="48">
        <f t="shared" si="5"/>
        <v>68.4</v>
      </c>
    </row>
    <row r="49" spans="1:9" ht="18">
      <c r="A49" s="26" t="s">
        <v>0</v>
      </c>
      <c r="B49" s="46">
        <v>142.6</v>
      </c>
      <c r="C49" s="47">
        <v>568.5</v>
      </c>
      <c r="D49" s="48">
        <f>2.2+2.5+0.8</f>
        <v>5.5</v>
      </c>
      <c r="E49" s="1">
        <f>D49/D45*100</f>
        <v>0.7443497090269319</v>
      </c>
      <c r="F49" s="1">
        <f t="shared" si="6"/>
        <v>3.8569424964936885</v>
      </c>
      <c r="G49" s="1">
        <f t="shared" si="4"/>
        <v>0.9674582233948988</v>
      </c>
      <c r="H49" s="48">
        <f t="shared" si="7"/>
        <v>137.1</v>
      </c>
      <c r="I49" s="48">
        <f t="shared" si="5"/>
        <v>563</v>
      </c>
    </row>
    <row r="50" spans="1:9" ht="18.75" thickBot="1">
      <c r="A50" s="26" t="s">
        <v>34</v>
      </c>
      <c r="B50" s="47">
        <f>B45-B46-B49-B48-B47</f>
        <v>35.39999999999991</v>
      </c>
      <c r="C50" s="47">
        <f>C45-C46-C49-C48-C47</f>
        <v>347.5</v>
      </c>
      <c r="D50" s="47">
        <f>D45-D46-D49-D48-D47</f>
        <v>13.099999999999977</v>
      </c>
      <c r="E50" s="1">
        <f>D50/D45*100</f>
        <v>1.7729056705914163</v>
      </c>
      <c r="F50" s="1">
        <f t="shared" si="6"/>
        <v>37.00564971751415</v>
      </c>
      <c r="G50" s="1">
        <f t="shared" si="4"/>
        <v>3.7697841726618635</v>
      </c>
      <c r="H50" s="48">
        <f t="shared" si="7"/>
        <v>22.299999999999937</v>
      </c>
      <c r="I50" s="48">
        <f t="shared" si="5"/>
        <v>334.40000000000003</v>
      </c>
    </row>
    <row r="51" spans="1:9" ht="18.75" thickBot="1">
      <c r="A51" s="25" t="s">
        <v>4</v>
      </c>
      <c r="B51" s="49">
        <v>2420.9</v>
      </c>
      <c r="C51" s="50">
        <v>16075.7</v>
      </c>
      <c r="D51" s="51">
        <f>8+294.9+37.1+10.7+29.1+464+10.3+76.6+3.8+16.5+359.8+101.4+28.4</f>
        <v>1440.6000000000001</v>
      </c>
      <c r="E51" s="3">
        <f>D51/D149*100</f>
        <v>1.133873587970834</v>
      </c>
      <c r="F51" s="3">
        <f>D51/B51*100</f>
        <v>59.506794993597424</v>
      </c>
      <c r="G51" s="3">
        <f t="shared" si="4"/>
        <v>8.961351605217814</v>
      </c>
      <c r="H51" s="51">
        <f>B51-D51</f>
        <v>980.3</v>
      </c>
      <c r="I51" s="51">
        <f t="shared" si="5"/>
        <v>14635.1</v>
      </c>
    </row>
    <row r="52" spans="1:9" ht="18">
      <c r="A52" s="26" t="s">
        <v>3</v>
      </c>
      <c r="B52" s="46">
        <v>1508.5</v>
      </c>
      <c r="C52" s="47">
        <v>10328.7</v>
      </c>
      <c r="D52" s="48">
        <f>8+294.9+437.7+298.5</f>
        <v>1039.1</v>
      </c>
      <c r="E52" s="1">
        <f>D52/D51*100</f>
        <v>72.12966819380813</v>
      </c>
      <c r="F52" s="1">
        <f t="shared" si="6"/>
        <v>68.88299635399403</v>
      </c>
      <c r="G52" s="1">
        <f t="shared" si="4"/>
        <v>10.060317368110216</v>
      </c>
      <c r="H52" s="48">
        <f t="shared" si="7"/>
        <v>469.4000000000001</v>
      </c>
      <c r="I52" s="48">
        <f t="shared" si="5"/>
        <v>9289.6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23.8</v>
      </c>
      <c r="C54" s="47">
        <v>287</v>
      </c>
      <c r="D54" s="48">
        <f>1.3+0.7</f>
        <v>2</v>
      </c>
      <c r="E54" s="1">
        <f>D54/D51*100</f>
        <v>0.13883104262113005</v>
      </c>
      <c r="F54" s="1">
        <f t="shared" si="6"/>
        <v>8.403361344537814</v>
      </c>
      <c r="G54" s="1">
        <f t="shared" si="4"/>
        <v>0.6968641114982579</v>
      </c>
      <c r="H54" s="48">
        <f t="shared" si="7"/>
        <v>21.8</v>
      </c>
      <c r="I54" s="48">
        <f t="shared" si="5"/>
        <v>285</v>
      </c>
    </row>
    <row r="55" spans="1:9" ht="18">
      <c r="A55" s="26" t="s">
        <v>0</v>
      </c>
      <c r="B55" s="46">
        <v>197.4</v>
      </c>
      <c r="C55" s="47">
        <v>933.1</v>
      </c>
      <c r="D55" s="48">
        <f>10.7+0.6+7.6+85.1+28.4</f>
        <v>132.4</v>
      </c>
      <c r="E55" s="1">
        <f>D55/D51*100</f>
        <v>9.190615021518811</v>
      </c>
      <c r="F55" s="1">
        <f t="shared" si="6"/>
        <v>67.07193515704154</v>
      </c>
      <c r="G55" s="1">
        <f t="shared" si="4"/>
        <v>14.189261601114564</v>
      </c>
      <c r="H55" s="48">
        <f t="shared" si="7"/>
        <v>65</v>
      </c>
      <c r="I55" s="48">
        <f t="shared" si="5"/>
        <v>800.7</v>
      </c>
    </row>
    <row r="56" spans="1:9" ht="18.75" thickBot="1">
      <c r="A56" s="26" t="s">
        <v>34</v>
      </c>
      <c r="B56" s="47">
        <f>B51-B52-B55-B54-B53</f>
        <v>691.2000000000002</v>
      </c>
      <c r="C56" s="47">
        <f>C51-C52-C55-C54-C53</f>
        <v>4514.9</v>
      </c>
      <c r="D56" s="47">
        <f>D51-D52-D55-D54-D53</f>
        <v>267.10000000000025</v>
      </c>
      <c r="E56" s="1">
        <f>D56/D51*100</f>
        <v>18.540885742051938</v>
      </c>
      <c r="F56" s="1">
        <f t="shared" si="6"/>
        <v>38.642939814814845</v>
      </c>
      <c r="G56" s="1">
        <f t="shared" si="4"/>
        <v>5.915967131054957</v>
      </c>
      <c r="H56" s="48">
        <f t="shared" si="7"/>
        <v>424.0999999999999</v>
      </c>
      <c r="I56" s="48">
        <f>C56-D56</f>
        <v>4247.799999999999</v>
      </c>
    </row>
    <row r="57" spans="1:9" s="41" customFormat="1" ht="19.5" hidden="1" thickBot="1">
      <c r="A57" s="104" t="s">
        <v>84</v>
      </c>
      <c r="B57" s="102"/>
      <c r="C57" s="102"/>
      <c r="D57" s="102"/>
      <c r="E57" s="1"/>
      <c r="F57" s="103" t="e">
        <f t="shared" si="6"/>
        <v>#DIV/0!</v>
      </c>
      <c r="G57" s="103" t="e">
        <f t="shared" si="4"/>
        <v>#DIV/0!</v>
      </c>
      <c r="H57" s="113">
        <f t="shared" si="7"/>
        <v>0</v>
      </c>
      <c r="I57" s="113">
        <f>C57-D57</f>
        <v>0</v>
      </c>
    </row>
    <row r="58" spans="1:9" ht="18.75" thickBot="1">
      <c r="A58" s="25" t="s">
        <v>6</v>
      </c>
      <c r="B58" s="49">
        <v>364.4</v>
      </c>
      <c r="C58" s="50">
        <v>5881.8</v>
      </c>
      <c r="D58" s="51">
        <f>43.5+4.7+72.8+47.2+46</f>
        <v>214.2</v>
      </c>
      <c r="E58" s="3">
        <f>D58/D149*100</f>
        <v>0.16859344894026976</v>
      </c>
      <c r="F58" s="3">
        <f>D58/B58*100</f>
        <v>58.781558726673985</v>
      </c>
      <c r="G58" s="3">
        <f t="shared" si="4"/>
        <v>3.641742323778435</v>
      </c>
      <c r="H58" s="51">
        <f>B58-D58</f>
        <v>150.2</v>
      </c>
      <c r="I58" s="51">
        <f t="shared" si="5"/>
        <v>5667.6</v>
      </c>
    </row>
    <row r="59" spans="1:9" ht="18">
      <c r="A59" s="26" t="s">
        <v>3</v>
      </c>
      <c r="B59" s="46">
        <v>231.4</v>
      </c>
      <c r="C59" s="47">
        <v>1508.2</v>
      </c>
      <c r="D59" s="48">
        <f>43.5+72.8+47.2</f>
        <v>163.5</v>
      </c>
      <c r="E59" s="1">
        <f>D59/D58*100</f>
        <v>76.33053221288516</v>
      </c>
      <c r="F59" s="1">
        <f t="shared" si="6"/>
        <v>70.65687121866897</v>
      </c>
      <c r="G59" s="1">
        <f t="shared" si="4"/>
        <v>10.840737302744992</v>
      </c>
      <c r="H59" s="48">
        <f t="shared" si="7"/>
        <v>67.9</v>
      </c>
      <c r="I59" s="48">
        <f t="shared" si="5"/>
        <v>1344.7</v>
      </c>
    </row>
    <row r="60" spans="1:9" ht="18">
      <c r="A60" s="26" t="s">
        <v>1</v>
      </c>
      <c r="B60" s="46">
        <v>0</v>
      </c>
      <c r="C60" s="47">
        <v>331.8</v>
      </c>
      <c r="D60" s="48"/>
      <c r="E60" s="1">
        <f>D60/D58*100</f>
        <v>0</v>
      </c>
      <c r="F60" s="111" t="e">
        <f>D60/B60*100</f>
        <v>#DIV/0!</v>
      </c>
      <c r="G60" s="1">
        <f t="shared" si="4"/>
        <v>0</v>
      </c>
      <c r="H60" s="48">
        <f t="shared" si="7"/>
        <v>0</v>
      </c>
      <c r="I60" s="48">
        <f t="shared" si="5"/>
        <v>331.8</v>
      </c>
    </row>
    <row r="61" spans="1:9" ht="18">
      <c r="A61" s="26" t="s">
        <v>0</v>
      </c>
      <c r="B61" s="46">
        <v>118.1</v>
      </c>
      <c r="C61" s="47">
        <v>627.5</v>
      </c>
      <c r="D61" s="48">
        <f>4.7+45.7</f>
        <v>50.400000000000006</v>
      </c>
      <c r="E61" s="1">
        <f>D61/D58*100</f>
        <v>23.529411764705888</v>
      </c>
      <c r="F61" s="1">
        <f t="shared" si="6"/>
        <v>42.67569856054192</v>
      </c>
      <c r="G61" s="1">
        <f t="shared" si="4"/>
        <v>8.03187250996016</v>
      </c>
      <c r="H61" s="48">
        <f t="shared" si="7"/>
        <v>67.69999999999999</v>
      </c>
      <c r="I61" s="48">
        <f t="shared" si="5"/>
        <v>577.1</v>
      </c>
    </row>
    <row r="62" spans="1:9" ht="18">
      <c r="A62" s="26" t="s">
        <v>15</v>
      </c>
      <c r="B62" s="46">
        <v>0</v>
      </c>
      <c r="C62" s="47">
        <v>3216.2</v>
      </c>
      <c r="D62" s="48"/>
      <c r="E62" s="1">
        <f>D62/D58*100</f>
        <v>0</v>
      </c>
      <c r="F62" s="111" t="e">
        <f>D62/B62*100</f>
        <v>#DIV/0!</v>
      </c>
      <c r="G62" s="1">
        <f t="shared" si="4"/>
        <v>0</v>
      </c>
      <c r="H62" s="48">
        <f t="shared" si="7"/>
        <v>0</v>
      </c>
      <c r="I62" s="48">
        <f t="shared" si="5"/>
        <v>3216.2</v>
      </c>
    </row>
    <row r="63" spans="1:9" ht="18.75" thickBot="1">
      <c r="A63" s="26" t="s">
        <v>34</v>
      </c>
      <c r="B63" s="47">
        <f>B58-B59-B61-B62-B60</f>
        <v>14.899999999999977</v>
      </c>
      <c r="C63" s="47">
        <f>C58-C59-C61-C62-C60</f>
        <v>198.10000000000053</v>
      </c>
      <c r="D63" s="47">
        <f>D58-D59-D61-D62-D60</f>
        <v>0.29999999999998295</v>
      </c>
      <c r="E63" s="1">
        <f>D63/D58*100</f>
        <v>0.14005602240895562</v>
      </c>
      <c r="F63" s="1">
        <f t="shared" si="6"/>
        <v>2.0134228187918346</v>
      </c>
      <c r="G63" s="1">
        <f t="shared" si="4"/>
        <v>0.1514386673397184</v>
      </c>
      <c r="H63" s="48">
        <f t="shared" si="7"/>
        <v>14.599999999999994</v>
      </c>
      <c r="I63" s="48">
        <f t="shared" si="5"/>
        <v>197.80000000000055</v>
      </c>
    </row>
    <row r="64" spans="1:9" s="41" customFormat="1" ht="19.5" hidden="1" thickBot="1">
      <c r="A64" s="104" t="s">
        <v>95</v>
      </c>
      <c r="B64" s="102"/>
      <c r="C64" s="102"/>
      <c r="D64" s="102"/>
      <c r="E64" s="103"/>
      <c r="F64" s="103" t="e">
        <f>D64/B64*100</f>
        <v>#DIV/0!</v>
      </c>
      <c r="G64" s="103" t="e">
        <f>D64/C64*100</f>
        <v>#DIV/0!</v>
      </c>
      <c r="H64" s="113">
        <f t="shared" si="7"/>
        <v>0</v>
      </c>
      <c r="I64" s="113">
        <f t="shared" si="5"/>
        <v>0</v>
      </c>
    </row>
    <row r="65" spans="1:9" s="41" customFormat="1" ht="19.5" hidden="1" thickBot="1">
      <c r="A65" s="104" t="s">
        <v>81</v>
      </c>
      <c r="B65" s="102"/>
      <c r="C65" s="102"/>
      <c r="D65" s="102"/>
      <c r="E65" s="103"/>
      <c r="F65" s="103" t="e">
        <f t="shared" si="6"/>
        <v>#DIV/0!</v>
      </c>
      <c r="G65" s="103" t="e">
        <f t="shared" si="4"/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82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83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ht="18.75" thickBot="1">
      <c r="A68" s="25" t="s">
        <v>24</v>
      </c>
      <c r="B68" s="50">
        <f>B69+B70</f>
        <v>89</v>
      </c>
      <c r="C68" s="50">
        <f>C69+C70</f>
        <v>424.4</v>
      </c>
      <c r="D68" s="51">
        <f>SUM(D69:D70)</f>
        <v>3.9</v>
      </c>
      <c r="E68" s="39">
        <f>D68/D149*100</f>
        <v>0.0030696286221617744</v>
      </c>
      <c r="F68" s="3">
        <f>D68/B68*100</f>
        <v>4.382022471910112</v>
      </c>
      <c r="G68" s="3">
        <f t="shared" si="4"/>
        <v>0.9189443920829407</v>
      </c>
      <c r="H68" s="51">
        <f>B68-D68</f>
        <v>85.1</v>
      </c>
      <c r="I68" s="51">
        <f t="shared" si="5"/>
        <v>420.5</v>
      </c>
    </row>
    <row r="69" spans="1:9" ht="18" hidden="1">
      <c r="A69" s="26" t="s">
        <v>8</v>
      </c>
      <c r="B69" s="46">
        <v>89</v>
      </c>
      <c r="C69" s="47">
        <v>424.4</v>
      </c>
      <c r="D69" s="48">
        <f>3.9</f>
        <v>3.9</v>
      </c>
      <c r="E69" s="1">
        <f>D69/D68*100</f>
        <v>100</v>
      </c>
      <c r="F69" s="1">
        <f t="shared" si="6"/>
        <v>4.382022471910112</v>
      </c>
      <c r="G69" s="1">
        <f t="shared" si="4"/>
        <v>0.9189443920829407</v>
      </c>
      <c r="H69" s="48">
        <f t="shared" si="7"/>
        <v>85.1</v>
      </c>
      <c r="I69" s="48">
        <f t="shared" si="5"/>
        <v>420.5</v>
      </c>
    </row>
    <row r="70" spans="1:9" ht="18.75" hidden="1" thickBot="1">
      <c r="A70" s="26" t="s">
        <v>9</v>
      </c>
      <c r="B70" s="46"/>
      <c r="C70" s="47"/>
      <c r="D70" s="48"/>
      <c r="E70" s="1">
        <f>D70/D69*100</f>
        <v>0</v>
      </c>
      <c r="F70" s="1" t="e">
        <f t="shared" si="6"/>
        <v>#DIV/0!</v>
      </c>
      <c r="G70" s="1" t="e">
        <f t="shared" si="4"/>
        <v>#DIV/0!</v>
      </c>
      <c r="H70" s="48">
        <f t="shared" si="7"/>
        <v>0</v>
      </c>
      <c r="I70" s="48">
        <f t="shared" si="5"/>
        <v>0</v>
      </c>
    </row>
    <row r="71" spans="1:9" ht="38.25" hidden="1" thickBot="1">
      <c r="A71" s="13" t="s">
        <v>50</v>
      </c>
      <c r="B71" s="58"/>
      <c r="C71" s="50">
        <f>C72+C73+C74+C75</f>
        <v>0</v>
      </c>
      <c r="D71" s="50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51">
        <f>B71-D71</f>
        <v>0</v>
      </c>
      <c r="I71" s="51">
        <f t="shared" si="5"/>
        <v>0</v>
      </c>
    </row>
    <row r="72" spans="1:9" ht="18.75" hidden="1">
      <c r="A72" s="20" t="s">
        <v>56</v>
      </c>
      <c r="B72" s="55"/>
      <c r="C72" s="62"/>
      <c r="D72" s="53"/>
      <c r="E72" s="34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48">
        <f t="shared" si="7"/>
        <v>0</v>
      </c>
      <c r="I72" s="48">
        <f t="shared" si="5"/>
        <v>0</v>
      </c>
    </row>
    <row r="73" spans="1:9" ht="18.75" hidden="1">
      <c r="A73" s="20" t="s">
        <v>57</v>
      </c>
      <c r="B73" s="55"/>
      <c r="C73" s="62"/>
      <c r="D73" s="53"/>
      <c r="E73" s="34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7" t="s">
        <v>41</v>
      </c>
      <c r="B74" s="63"/>
      <c r="C74" s="64"/>
      <c r="D74" s="65"/>
      <c r="E74" s="34" t="e">
        <f>D74/D71*100</f>
        <v>#DIV/0!</v>
      </c>
      <c r="F74" s="34"/>
      <c r="G74" s="1" t="e">
        <f t="shared" si="4"/>
        <v>#DIV/0!</v>
      </c>
      <c r="H74" s="48"/>
      <c r="I74" s="48">
        <f t="shared" si="5"/>
        <v>0</v>
      </c>
    </row>
    <row r="75" spans="1:9" ht="19.5" hidden="1" thickBot="1">
      <c r="A75" s="27" t="s">
        <v>51</v>
      </c>
      <c r="B75" s="63"/>
      <c r="C75" s="64"/>
      <c r="D75" s="65"/>
      <c r="E75" s="34" t="e">
        <f>D75/D71*100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s="41" customFormat="1" ht="19.5" thickBot="1">
      <c r="A76" s="28" t="s">
        <v>14</v>
      </c>
      <c r="B76" s="59">
        <v>1666.7</v>
      </c>
      <c r="C76" s="66"/>
      <c r="D76" s="67"/>
      <c r="E76" s="45"/>
      <c r="F76" s="45"/>
      <c r="G76" s="45"/>
      <c r="H76" s="67">
        <f>B76-D76</f>
        <v>1666.7</v>
      </c>
      <c r="I76" s="67">
        <f t="shared" si="5"/>
        <v>0</v>
      </c>
    </row>
    <row r="77" spans="1:9" ht="8.25" customHeight="1" thickBot="1">
      <c r="A77" s="20"/>
      <c r="B77" s="55"/>
      <c r="C77" s="64"/>
      <c r="D77" s="65"/>
      <c r="E77" s="6"/>
      <c r="F77" s="6"/>
      <c r="G77" s="6"/>
      <c r="H77" s="65"/>
      <c r="I77" s="129"/>
    </row>
    <row r="78" spans="1:9" ht="18.75" customHeight="1" hidden="1" thickBot="1">
      <c r="A78" s="13" t="s">
        <v>75</v>
      </c>
      <c r="B78" s="58"/>
      <c r="C78" s="50">
        <f>C79+C80</f>
        <v>0</v>
      </c>
      <c r="D78" s="50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51">
        <f>B78-D78</f>
        <v>0</v>
      </c>
      <c r="I78" s="51">
        <f aca="true" t="shared" si="9" ref="I78:I92">C78-D78</f>
        <v>0</v>
      </c>
    </row>
    <row r="79" spans="1:9" s="8" customFormat="1" ht="18.75" hidden="1" thickBot="1">
      <c r="A79" s="9" t="s">
        <v>74</v>
      </c>
      <c r="B79" s="68"/>
      <c r="C79" s="47">
        <f>50-50</f>
        <v>0</v>
      </c>
      <c r="D79" s="48"/>
      <c r="E79" s="101"/>
      <c r="F79" s="1" t="e">
        <f>D79/B79*100</f>
        <v>#DIV/0!</v>
      </c>
      <c r="G79" s="1" t="e">
        <f t="shared" si="8"/>
        <v>#DIV/0!</v>
      </c>
      <c r="H79" s="48">
        <f>B79-D79</f>
        <v>0</v>
      </c>
      <c r="I79" s="48">
        <f t="shared" si="9"/>
        <v>0</v>
      </c>
    </row>
    <row r="80" spans="1:9" s="8" customFormat="1" ht="31.5" hidden="1" thickBot="1">
      <c r="A80" s="9" t="s">
        <v>68</v>
      </c>
      <c r="B80" s="68"/>
      <c r="C80" s="47"/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16.5" customHeight="1" hidden="1">
      <c r="A81" s="9" t="s">
        <v>40</v>
      </c>
      <c r="B81" s="68"/>
      <c r="C81" s="47"/>
      <c r="D81" s="48"/>
      <c r="E81" s="1" t="e">
        <f>D81/D78*100</f>
        <v>#DIV/0!</v>
      </c>
      <c r="F81" s="1"/>
      <c r="G81" s="1" t="e">
        <f t="shared" si="8"/>
        <v>#DIV/0!</v>
      </c>
      <c r="H81" s="48"/>
      <c r="I81" s="48">
        <f t="shared" si="9"/>
        <v>0</v>
      </c>
    </row>
    <row r="82" spans="1:9" s="8" customFormat="1" ht="33" customHeight="1" hidden="1" thickBot="1">
      <c r="A82" s="9" t="s">
        <v>47</v>
      </c>
      <c r="B82" s="68"/>
      <c r="C82" s="47"/>
      <c r="D82" s="47"/>
      <c r="E82" s="1" t="e">
        <f>D82/D78*100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ht="35.25" customHeight="1" hidden="1" thickBot="1">
      <c r="A83" s="13" t="s">
        <v>42</v>
      </c>
      <c r="B83" s="58"/>
      <c r="C83" s="50">
        <f>C84+C85</f>
        <v>0</v>
      </c>
      <c r="D83" s="50">
        <f>D84+D85</f>
        <v>0</v>
      </c>
      <c r="E83" s="3">
        <f>D83/D149*100</f>
        <v>0</v>
      </c>
      <c r="F83" s="3"/>
      <c r="G83" s="3" t="e">
        <f t="shared" si="8"/>
        <v>#DIV/0!</v>
      </c>
      <c r="H83" s="51"/>
      <c r="I83" s="51">
        <f t="shared" si="9"/>
        <v>0</v>
      </c>
    </row>
    <row r="84" spans="1:9" ht="16.5" customHeight="1" hidden="1">
      <c r="A84" s="26" t="s">
        <v>29</v>
      </c>
      <c r="B84" s="46"/>
      <c r="C84" s="64"/>
      <c r="D84" s="64"/>
      <c r="E84" s="6" t="e">
        <f>D84/D83*100</f>
        <v>#DIV/0!</v>
      </c>
      <c r="F84" s="6"/>
      <c r="G84" s="6" t="e">
        <f t="shared" si="8"/>
        <v>#DIV/0!</v>
      </c>
      <c r="H84" s="65"/>
      <c r="I84" s="48">
        <f t="shared" si="9"/>
        <v>0</v>
      </c>
    </row>
    <row r="85" spans="1:9" ht="16.5" customHeight="1" hidden="1" thickBot="1">
      <c r="A85" s="26" t="s">
        <v>30</v>
      </c>
      <c r="B85" s="46"/>
      <c r="C85" s="64"/>
      <c r="D85" s="64"/>
      <c r="E85" s="6" t="e">
        <f>D85/D83*100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34.5" customHeight="1" hidden="1" thickBot="1">
      <c r="A86" s="13" t="s">
        <v>43</v>
      </c>
      <c r="B86" s="58"/>
      <c r="C86" s="50">
        <f>SUM(C87:C88)</f>
        <v>0</v>
      </c>
      <c r="D86" s="50">
        <f>SUM(D87:D88)</f>
        <v>0</v>
      </c>
      <c r="E86" s="3">
        <f>D86/D149*100</f>
        <v>0</v>
      </c>
      <c r="F86" s="3"/>
      <c r="G86" s="3" t="e">
        <f t="shared" si="8"/>
        <v>#DIV/0!</v>
      </c>
      <c r="H86" s="51"/>
      <c r="I86" s="51">
        <f t="shared" si="9"/>
        <v>0</v>
      </c>
    </row>
    <row r="87" spans="1:9" ht="17.25" customHeight="1" hidden="1">
      <c r="A87" s="26" t="s">
        <v>29</v>
      </c>
      <c r="B87" s="46"/>
      <c r="C87" s="47"/>
      <c r="D87" s="48"/>
      <c r="E87" s="1" t="e">
        <f>D87/D86*100</f>
        <v>#DIV/0!</v>
      </c>
      <c r="F87" s="1"/>
      <c r="G87" s="1" t="e">
        <f t="shared" si="8"/>
        <v>#DIV/0!</v>
      </c>
      <c r="H87" s="48"/>
      <c r="I87" s="48">
        <f t="shared" si="9"/>
        <v>0</v>
      </c>
    </row>
    <row r="88" spans="1:9" ht="17.25" customHeight="1" hidden="1" thickBot="1">
      <c r="A88" s="26" t="s">
        <v>30</v>
      </c>
      <c r="B88" s="46"/>
      <c r="C88" s="47"/>
      <c r="D88" s="48"/>
      <c r="E88" s="1" t="e">
        <f>D88/D86*100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9.5" thickBot="1">
      <c r="A89" s="13" t="s">
        <v>10</v>
      </c>
      <c r="B89" s="58">
        <v>8365.9</v>
      </c>
      <c r="C89" s="50">
        <v>50201.5</v>
      </c>
      <c r="D89" s="51">
        <f>504.1+603.6+0.4+13.4+0.4+2.2+9.9+1.1+305.4+663.4+712.7+3.4+59.2+17.1+69.2+0.3+0.1+65+384.8+526.3+246.2+20.6+24.1+37.5+50.9</f>
        <v>4321.3</v>
      </c>
      <c r="E89" s="3">
        <f>D89/D149*100</f>
        <v>3.4012272217814554</v>
      </c>
      <c r="F89" s="3">
        <f aca="true" t="shared" si="10" ref="F89:F95">D89/B89*100</f>
        <v>51.653737195041785</v>
      </c>
      <c r="G89" s="3">
        <f t="shared" si="8"/>
        <v>8.607910122207505</v>
      </c>
      <c r="H89" s="51">
        <f aca="true" t="shared" si="11" ref="H89:H95">B89-D89</f>
        <v>4044.5999999999995</v>
      </c>
      <c r="I89" s="51">
        <f t="shared" si="9"/>
        <v>45880.2</v>
      </c>
    </row>
    <row r="90" spans="1:9" ht="18">
      <c r="A90" s="26" t="s">
        <v>3</v>
      </c>
      <c r="B90" s="46">
        <v>7061</v>
      </c>
      <c r="C90" s="47">
        <v>41785.6</v>
      </c>
      <c r="D90" s="48">
        <f>504.1+600.9+12.5+0.1+294.4+657+710.4+56.2+67.4+61.4+375.5+513+243.5+0.3+0.2</f>
        <v>4096.9</v>
      </c>
      <c r="E90" s="1">
        <f>D90/D89*100</f>
        <v>94.80711822831091</v>
      </c>
      <c r="F90" s="1">
        <f t="shared" si="10"/>
        <v>58.02152669593541</v>
      </c>
      <c r="G90" s="1">
        <f t="shared" si="8"/>
        <v>9.804573824475417</v>
      </c>
      <c r="H90" s="48">
        <f t="shared" si="11"/>
        <v>2964.1000000000004</v>
      </c>
      <c r="I90" s="48">
        <f t="shared" si="9"/>
        <v>37688.7</v>
      </c>
    </row>
    <row r="91" spans="1:9" ht="18">
      <c r="A91" s="26" t="s">
        <v>32</v>
      </c>
      <c r="B91" s="46">
        <v>550.6</v>
      </c>
      <c r="C91" s="47">
        <v>2476</v>
      </c>
      <c r="D91" s="48">
        <f>9.8</f>
        <v>9.8</v>
      </c>
      <c r="E91" s="1">
        <f>D91/D89*100</f>
        <v>0.22678360678499526</v>
      </c>
      <c r="F91" s="1">
        <f t="shared" si="10"/>
        <v>1.7798764983654194</v>
      </c>
      <c r="G91" s="1">
        <f t="shared" si="8"/>
        <v>0.39579967689822293</v>
      </c>
      <c r="H91" s="48">
        <f t="shared" si="11"/>
        <v>540.8000000000001</v>
      </c>
      <c r="I91" s="48">
        <f t="shared" si="9"/>
        <v>2466.2</v>
      </c>
    </row>
    <row r="92" spans="1:9" ht="18" hidden="1">
      <c r="A92" s="26" t="s">
        <v>15</v>
      </c>
      <c r="B92" s="46"/>
      <c r="C92" s="47"/>
      <c r="D92" s="47"/>
      <c r="E92" s="12">
        <f>D92/D89*100</f>
        <v>0</v>
      </c>
      <c r="F92" s="1"/>
      <c r="G92" s="1" t="e">
        <f t="shared" si="8"/>
        <v>#DIV/0!</v>
      </c>
      <c r="H92" s="48">
        <f t="shared" si="11"/>
        <v>0</v>
      </c>
      <c r="I92" s="48">
        <f t="shared" si="9"/>
        <v>0</v>
      </c>
    </row>
    <row r="93" spans="1:9" ht="18.75" thickBot="1">
      <c r="A93" s="26" t="s">
        <v>34</v>
      </c>
      <c r="B93" s="47">
        <f>B89-B90-B91-B92</f>
        <v>754.2999999999996</v>
      </c>
      <c r="C93" s="47">
        <f>C89-C90-C91-C92</f>
        <v>5939.9000000000015</v>
      </c>
      <c r="D93" s="47">
        <f>D89-D90-D91-D92</f>
        <v>214.60000000000053</v>
      </c>
      <c r="E93" s="1">
        <f>D93/D89*100</f>
        <v>4.966098164904092</v>
      </c>
      <c r="F93" s="1">
        <f t="shared" si="10"/>
        <v>28.45021874585717</v>
      </c>
      <c r="G93" s="1">
        <f>D93/C93*100</f>
        <v>3.612855435276696</v>
      </c>
      <c r="H93" s="48">
        <f t="shared" si="11"/>
        <v>539.6999999999991</v>
      </c>
      <c r="I93" s="48">
        <f>C93-D93</f>
        <v>5725.300000000001</v>
      </c>
    </row>
    <row r="94" spans="1:9" ht="18.75">
      <c r="A94" s="116" t="s">
        <v>12</v>
      </c>
      <c r="B94" s="119">
        <v>12975.8</v>
      </c>
      <c r="C94" s="121">
        <v>63500.4</v>
      </c>
      <c r="D94" s="120">
        <f>3050.1+485.9+95+377.6+203.9+57.3+702.6+368.5+68.4+157.9+4015.3+212.6+788.4</f>
        <v>10583.5</v>
      </c>
      <c r="E94" s="115">
        <f>D94/D149*100</f>
        <v>8.330106287858753</v>
      </c>
      <c r="F94" s="118">
        <f t="shared" si="10"/>
        <v>81.56337181522527</v>
      </c>
      <c r="G94" s="114">
        <f>D94/C94*100</f>
        <v>16.66682414598963</v>
      </c>
      <c r="H94" s="120">
        <f t="shared" si="11"/>
        <v>2392.2999999999993</v>
      </c>
      <c r="I94" s="130">
        <f>C94-D94</f>
        <v>52916.9</v>
      </c>
    </row>
    <row r="95" spans="1:9" ht="18.75" thickBot="1">
      <c r="A95" s="117" t="s">
        <v>103</v>
      </c>
      <c r="B95" s="122">
        <v>876.7</v>
      </c>
      <c r="C95" s="123">
        <v>5343.5</v>
      </c>
      <c r="D95" s="124">
        <f>57.3+368.5</f>
        <v>425.8</v>
      </c>
      <c r="E95" s="125">
        <f>D95/D94*100</f>
        <v>4.023243728445221</v>
      </c>
      <c r="F95" s="126">
        <f t="shared" si="10"/>
        <v>48.56849549446789</v>
      </c>
      <c r="G95" s="127">
        <f>D95/C95*100</f>
        <v>7.968559932628427</v>
      </c>
      <c r="H95" s="131">
        <f t="shared" si="11"/>
        <v>450.90000000000003</v>
      </c>
      <c r="I95" s="132">
        <f>C95-D95</f>
        <v>4917.7</v>
      </c>
    </row>
    <row r="96" spans="1:9" ht="8.25" customHeight="1" thickBot="1">
      <c r="A96" s="20"/>
      <c r="B96" s="55"/>
      <c r="C96" s="64"/>
      <c r="D96" s="65"/>
      <c r="E96" s="6"/>
      <c r="F96" s="6"/>
      <c r="G96" s="6"/>
      <c r="H96" s="65"/>
      <c r="I96" s="65"/>
    </row>
    <row r="97" spans="1:9" ht="19.5" hidden="1" thickBot="1">
      <c r="A97" s="30" t="s">
        <v>45</v>
      </c>
      <c r="B97" s="72"/>
      <c r="C97" s="73"/>
      <c r="D97" s="74"/>
      <c r="E97" s="3">
        <f>D97/D149*100</f>
        <v>0</v>
      </c>
      <c r="F97" s="3"/>
      <c r="G97" s="3" t="e">
        <f>D97/C97*100</f>
        <v>#DIV/0!</v>
      </c>
      <c r="H97" s="51"/>
      <c r="I97" s="51">
        <f>C97-D97</f>
        <v>0</v>
      </c>
    </row>
    <row r="98" spans="1:9" ht="5.25" customHeight="1" hidden="1" thickBot="1">
      <c r="A98" s="29"/>
      <c r="B98" s="69"/>
      <c r="C98" s="70"/>
      <c r="D98" s="71"/>
      <c r="E98" s="14"/>
      <c r="F98" s="6"/>
      <c r="G98" s="6"/>
      <c r="H98" s="65"/>
      <c r="I98" s="129"/>
    </row>
    <row r="99" spans="1:9" s="15" customFormat="1" ht="36" customHeight="1" hidden="1" thickBot="1">
      <c r="A99" s="13" t="s">
        <v>65</v>
      </c>
      <c r="B99" s="58"/>
      <c r="C99" s="50"/>
      <c r="D99" s="51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51">
        <f>B99-D99</f>
        <v>0</v>
      </c>
      <c r="I99" s="51">
        <f>C99-D99</f>
        <v>0</v>
      </c>
    </row>
    <row r="100" spans="1:9" ht="6.75" customHeight="1" hidden="1" thickBot="1">
      <c r="A100" s="108"/>
      <c r="B100" s="109"/>
      <c r="C100" s="70"/>
      <c r="D100" s="71"/>
      <c r="E100" s="14"/>
      <c r="F100" s="6"/>
      <c r="G100" s="6"/>
      <c r="H100" s="65"/>
      <c r="I100" s="129"/>
    </row>
    <row r="101" spans="1:9" s="41" customFormat="1" ht="19.5" thickBot="1">
      <c r="A101" s="13" t="s">
        <v>11</v>
      </c>
      <c r="B101" s="58">
        <v>1442.6</v>
      </c>
      <c r="C101" s="100">
        <v>10703.3</v>
      </c>
      <c r="D101" s="87">
        <f>40+388.7+47.5+2+10.9+26+40+10.7+4.9</f>
        <v>570.6999999999999</v>
      </c>
      <c r="E101" s="22">
        <f>D101/D149*100</f>
        <v>0.4491889883763396</v>
      </c>
      <c r="F101" s="22">
        <f>D101/B101*100</f>
        <v>39.56051573547761</v>
      </c>
      <c r="G101" s="22">
        <f aca="true" t="shared" si="12" ref="G101:G147">D101/C101*100</f>
        <v>5.332000411088169</v>
      </c>
      <c r="H101" s="87">
        <f aca="true" t="shared" si="13" ref="H101:H106">B101-D101</f>
        <v>871.9</v>
      </c>
      <c r="I101" s="87">
        <f aca="true" t="shared" si="14" ref="I101:I147">C101-D101</f>
        <v>10132.599999999999</v>
      </c>
    </row>
    <row r="102" spans="1:9" ht="18">
      <c r="A102" s="26" t="s">
        <v>3</v>
      </c>
      <c r="B102" s="97">
        <v>0</v>
      </c>
      <c r="C102" s="95">
        <v>187.6</v>
      </c>
      <c r="D102" s="95"/>
      <c r="E102" s="91">
        <f>D102/D101*100</f>
        <v>0</v>
      </c>
      <c r="F102" s="111" t="e">
        <f>D102/B102*100</f>
        <v>#DIV/0!</v>
      </c>
      <c r="G102" s="91">
        <f>D102/C102*100</f>
        <v>0</v>
      </c>
      <c r="H102" s="95">
        <f t="shared" si="13"/>
        <v>0</v>
      </c>
      <c r="I102" s="95">
        <f t="shared" si="14"/>
        <v>187.6</v>
      </c>
    </row>
    <row r="103" spans="1:9" ht="18">
      <c r="A103" s="93" t="s">
        <v>62</v>
      </c>
      <c r="B103" s="78">
        <v>1310.1</v>
      </c>
      <c r="C103" s="48">
        <v>8863.3</v>
      </c>
      <c r="D103" s="48">
        <f>39.8+388.5+20.6+2+26+40+4.1</f>
        <v>521.0000000000001</v>
      </c>
      <c r="E103" s="1">
        <f>D103/D101*100</f>
        <v>91.29139653057652</v>
      </c>
      <c r="F103" s="1">
        <f aca="true" t="shared" si="15" ref="F103:F147">D103/B103*100</f>
        <v>39.76795664453096</v>
      </c>
      <c r="G103" s="1">
        <f t="shared" si="12"/>
        <v>5.87817178703192</v>
      </c>
      <c r="H103" s="48">
        <f t="shared" si="13"/>
        <v>789.0999999999998</v>
      </c>
      <c r="I103" s="48">
        <f t="shared" si="14"/>
        <v>8342.3</v>
      </c>
    </row>
    <row r="104" spans="1:9" ht="54.75" hidden="1" thickBot="1">
      <c r="A104" s="94" t="s">
        <v>99</v>
      </c>
      <c r="B104" s="96"/>
      <c r="C104" s="96"/>
      <c r="D104" s="96"/>
      <c r="E104" s="92">
        <f>D104/D101*100</f>
        <v>0</v>
      </c>
      <c r="F104" s="92" t="e">
        <f>D104/B104*100</f>
        <v>#DIV/0!</v>
      </c>
      <c r="G104" s="92" t="e">
        <f>D104/C104*100</f>
        <v>#DIV/0!</v>
      </c>
      <c r="H104" s="132">
        <f t="shared" si="13"/>
        <v>0</v>
      </c>
      <c r="I104" s="132">
        <f>C104-D104</f>
        <v>0</v>
      </c>
    </row>
    <row r="105" spans="1:9" ht="18.75" thickBot="1">
      <c r="A105" s="94" t="s">
        <v>34</v>
      </c>
      <c r="B105" s="96">
        <f>B101-B102-B103</f>
        <v>132.5</v>
      </c>
      <c r="C105" s="96">
        <f>C101-C102-C103</f>
        <v>1652.3999999999996</v>
      </c>
      <c r="D105" s="96">
        <f>D101-D102-D103</f>
        <v>49.69999999999982</v>
      </c>
      <c r="E105" s="92">
        <f>D105/D101*100</f>
        <v>8.708603469423485</v>
      </c>
      <c r="F105" s="92">
        <f t="shared" si="15"/>
        <v>37.50943396226402</v>
      </c>
      <c r="G105" s="92">
        <f t="shared" si="12"/>
        <v>3.0077463083998928</v>
      </c>
      <c r="H105" s="132">
        <f>B105-D105</f>
        <v>82.80000000000018</v>
      </c>
      <c r="I105" s="132">
        <f t="shared" si="14"/>
        <v>1602.6999999999998</v>
      </c>
    </row>
    <row r="106" spans="1:9" s="2" customFormat="1" ht="26.25" customHeight="1" thickBot="1">
      <c r="A106" s="88" t="s">
        <v>35</v>
      </c>
      <c r="B106" s="89">
        <f>SUM(B107:B146)-B114-B118+B147-B138-B139-B108-B111-B121-B122-B136-B130-B128</f>
        <v>40104.8</v>
      </c>
      <c r="C106" s="89">
        <f>SUM(C107:C146)-C114-C118+C147-C138-C139-C108-C111-C121-C122-C136-C130-C128</f>
        <v>364835.69999999995</v>
      </c>
      <c r="D106" s="89">
        <f>SUM(D107:D146)-D114-D118+D147-D138-D139-D108-D111-D121-D122-D136-D130-D128</f>
        <v>32449.000000000004</v>
      </c>
      <c r="E106" s="90">
        <f>D106/D149*100</f>
        <v>25.540097220648057</v>
      </c>
      <c r="F106" s="90">
        <f>D106/B106*100</f>
        <v>80.9105144521354</v>
      </c>
      <c r="G106" s="90">
        <f t="shared" si="12"/>
        <v>8.89414056793236</v>
      </c>
      <c r="H106" s="89">
        <f t="shared" si="13"/>
        <v>7655.799999999999</v>
      </c>
      <c r="I106" s="89">
        <f t="shared" si="14"/>
        <v>332386.69999999995</v>
      </c>
    </row>
    <row r="107" spans="1:9" ht="37.5">
      <c r="A107" s="31" t="s">
        <v>66</v>
      </c>
      <c r="B107" s="75">
        <v>302.2</v>
      </c>
      <c r="C107" s="71">
        <v>2166.2</v>
      </c>
      <c r="D107" s="76">
        <f>142.7+0.9</f>
        <v>143.6</v>
      </c>
      <c r="E107" s="6">
        <f>D107/D106*100</f>
        <v>0.44254060217572183</v>
      </c>
      <c r="F107" s="6">
        <f t="shared" si="15"/>
        <v>47.51819986763733</v>
      </c>
      <c r="G107" s="6">
        <f t="shared" si="12"/>
        <v>6.6291201181793005</v>
      </c>
      <c r="H107" s="65">
        <f aca="true" t="shared" si="16" ref="H107:H147">B107-D107</f>
        <v>158.6</v>
      </c>
      <c r="I107" s="65">
        <f t="shared" si="14"/>
        <v>2022.6</v>
      </c>
    </row>
    <row r="108" spans="1:9" ht="18">
      <c r="A108" s="26" t="s">
        <v>32</v>
      </c>
      <c r="B108" s="78">
        <v>143.7</v>
      </c>
      <c r="C108" s="48">
        <v>1213.5</v>
      </c>
      <c r="D108" s="79">
        <f>142.7+0.9</f>
        <v>143.6</v>
      </c>
      <c r="E108" s="1">
        <f>D108/D107*100</f>
        <v>100</v>
      </c>
      <c r="F108" s="1">
        <f t="shared" si="15"/>
        <v>99.93041057759221</v>
      </c>
      <c r="G108" s="1">
        <f t="shared" si="12"/>
        <v>11.833539348990522</v>
      </c>
      <c r="H108" s="48">
        <f t="shared" si="16"/>
        <v>0.09999999999999432</v>
      </c>
      <c r="I108" s="48">
        <f t="shared" si="14"/>
        <v>1069.9</v>
      </c>
    </row>
    <row r="109" spans="1:9" ht="34.5" customHeight="1">
      <c r="A109" s="16" t="s">
        <v>98</v>
      </c>
      <c r="B109" s="77">
        <v>46.7</v>
      </c>
      <c r="C109" s="65">
        <v>778.3</v>
      </c>
      <c r="D109" s="76">
        <f>26.5+20.2</f>
        <v>46.7</v>
      </c>
      <c r="E109" s="6">
        <f>D109/D106*100</f>
        <v>0.14391814847915188</v>
      </c>
      <c r="F109" s="6">
        <f>D109/B109*100</f>
        <v>100</v>
      </c>
      <c r="G109" s="6">
        <f t="shared" si="12"/>
        <v>6.000256970319929</v>
      </c>
      <c r="H109" s="65">
        <f t="shared" si="16"/>
        <v>0</v>
      </c>
      <c r="I109" s="65">
        <f t="shared" si="14"/>
        <v>731.5999999999999</v>
      </c>
    </row>
    <row r="110" spans="1:9" s="41" customFormat="1" ht="34.5" customHeight="1" hidden="1">
      <c r="A110" s="16" t="s">
        <v>73</v>
      </c>
      <c r="B110" s="77"/>
      <c r="C110" s="57"/>
      <c r="D110" s="80"/>
      <c r="E110" s="6">
        <f>D110/D106*100</f>
        <v>0</v>
      </c>
      <c r="F110" s="6" t="e">
        <f t="shared" si="15"/>
        <v>#DIV/0!</v>
      </c>
      <c r="G110" s="6" t="e">
        <f t="shared" si="12"/>
        <v>#DIV/0!</v>
      </c>
      <c r="H110" s="65">
        <f t="shared" si="16"/>
        <v>0</v>
      </c>
      <c r="I110" s="65">
        <f t="shared" si="14"/>
        <v>0</v>
      </c>
    </row>
    <row r="111" spans="1:9" ht="18" hidden="1">
      <c r="A111" s="26" t="s">
        <v>32</v>
      </c>
      <c r="B111" s="78"/>
      <c r="C111" s="48"/>
      <c r="D111" s="79"/>
      <c r="E111" s="1"/>
      <c r="F111" s="1" t="e">
        <f t="shared" si="15"/>
        <v>#DIV/0!</v>
      </c>
      <c r="G111" s="1" t="e">
        <f t="shared" si="12"/>
        <v>#DIV/0!</v>
      </c>
      <c r="H111" s="48">
        <f t="shared" si="16"/>
        <v>0</v>
      </c>
      <c r="I111" s="48">
        <f t="shared" si="14"/>
        <v>0</v>
      </c>
    </row>
    <row r="112" spans="1:9" ht="18.75">
      <c r="A112" s="16" t="s">
        <v>121</v>
      </c>
      <c r="B112" s="77">
        <v>0</v>
      </c>
      <c r="C112" s="65">
        <v>50</v>
      </c>
      <c r="D112" s="76"/>
      <c r="E112" s="6">
        <f>D112/D106*100</f>
        <v>0</v>
      </c>
      <c r="F112" s="133" t="e">
        <f t="shared" si="15"/>
        <v>#DIV/0!</v>
      </c>
      <c r="G112" s="6">
        <f t="shared" si="12"/>
        <v>0</v>
      </c>
      <c r="H112" s="65">
        <f t="shared" si="16"/>
        <v>0</v>
      </c>
      <c r="I112" s="65">
        <f t="shared" si="14"/>
        <v>50</v>
      </c>
    </row>
    <row r="113" spans="1:9" ht="37.5">
      <c r="A113" s="16" t="s">
        <v>46</v>
      </c>
      <c r="B113" s="77">
        <v>294.1</v>
      </c>
      <c r="C113" s="65">
        <v>1795.8</v>
      </c>
      <c r="D113" s="76">
        <f>82.2+4.4+0.2</f>
        <v>86.80000000000001</v>
      </c>
      <c r="E113" s="6">
        <f>D113/D106*100</f>
        <v>0.2674966871090018</v>
      </c>
      <c r="F113" s="6">
        <f t="shared" si="15"/>
        <v>29.513770826249576</v>
      </c>
      <c r="G113" s="6">
        <f t="shared" si="12"/>
        <v>4.833500389798419</v>
      </c>
      <c r="H113" s="65">
        <f t="shared" si="16"/>
        <v>207.3</v>
      </c>
      <c r="I113" s="65">
        <f t="shared" si="14"/>
        <v>1709</v>
      </c>
    </row>
    <row r="114" spans="1:9" ht="18" hidden="1">
      <c r="A114" s="37" t="s">
        <v>53</v>
      </c>
      <c r="B114" s="78"/>
      <c r="C114" s="48"/>
      <c r="D114" s="79"/>
      <c r="E114" s="6"/>
      <c r="F114" s="6" t="e">
        <f t="shared" si="15"/>
        <v>#DIV/0!</v>
      </c>
      <c r="G114" s="1" t="e">
        <f t="shared" si="12"/>
        <v>#DIV/0!</v>
      </c>
      <c r="H114" s="48">
        <f t="shared" si="16"/>
        <v>0</v>
      </c>
      <c r="I114" s="48">
        <f t="shared" si="14"/>
        <v>0</v>
      </c>
    </row>
    <row r="115" spans="1:9" s="41" customFormat="1" ht="18.75" customHeight="1" hidden="1">
      <c r="A115" s="16" t="s">
        <v>59</v>
      </c>
      <c r="B115" s="77"/>
      <c r="C115" s="57"/>
      <c r="D115" s="80"/>
      <c r="E115" s="17">
        <f>D115/D106*100</f>
        <v>0</v>
      </c>
      <c r="F115" s="6" t="e">
        <f t="shared" si="15"/>
        <v>#DIV/0!</v>
      </c>
      <c r="G115" s="17" t="e">
        <f t="shared" si="12"/>
        <v>#DIV/0!</v>
      </c>
      <c r="H115" s="57">
        <f t="shared" si="16"/>
        <v>0</v>
      </c>
      <c r="I115" s="57">
        <f t="shared" si="14"/>
        <v>0</v>
      </c>
    </row>
    <row r="116" spans="1:9" ht="37.5" hidden="1">
      <c r="A116" s="16" t="s">
        <v>58</v>
      </c>
      <c r="B116" s="77"/>
      <c r="C116" s="65"/>
      <c r="D116" s="76"/>
      <c r="E116" s="6">
        <f>D116/D106*100</f>
        <v>0</v>
      </c>
      <c r="F116" s="6" t="e">
        <f>D116/B116*100</f>
        <v>#DIV/0!</v>
      </c>
      <c r="G116" s="6" t="e">
        <f t="shared" si="12"/>
        <v>#DIV/0!</v>
      </c>
      <c r="H116" s="65">
        <f t="shared" si="16"/>
        <v>0</v>
      </c>
      <c r="I116" s="65">
        <f t="shared" si="14"/>
        <v>0</v>
      </c>
    </row>
    <row r="117" spans="1:9" s="2" customFormat="1" ht="18.75">
      <c r="A117" s="16" t="s">
        <v>16</v>
      </c>
      <c r="B117" s="77">
        <v>40.5</v>
      </c>
      <c r="C117" s="57">
        <v>229.6</v>
      </c>
      <c r="D117" s="76">
        <f>17.1-0.3+0.8+0.3</f>
        <v>17.900000000000002</v>
      </c>
      <c r="E117" s="6">
        <f>D117/D106*100</f>
        <v>0.05516348731856144</v>
      </c>
      <c r="F117" s="6">
        <f t="shared" si="15"/>
        <v>44.19753086419754</v>
      </c>
      <c r="G117" s="6">
        <f t="shared" si="12"/>
        <v>7.7961672473867605</v>
      </c>
      <c r="H117" s="65">
        <f t="shared" si="16"/>
        <v>22.599999999999998</v>
      </c>
      <c r="I117" s="65">
        <f t="shared" si="14"/>
        <v>211.7</v>
      </c>
    </row>
    <row r="118" spans="1:9" s="36" customFormat="1" ht="18">
      <c r="A118" s="37" t="s">
        <v>53</v>
      </c>
      <c r="B118" s="78">
        <v>33.6</v>
      </c>
      <c r="C118" s="48">
        <v>170.2</v>
      </c>
      <c r="D118" s="79">
        <f>17.1-0.3</f>
        <v>16.8</v>
      </c>
      <c r="E118" s="1">
        <f>D118/D117*100</f>
        <v>93.85474860335195</v>
      </c>
      <c r="F118" s="1">
        <f t="shared" si="15"/>
        <v>50</v>
      </c>
      <c r="G118" s="1">
        <f t="shared" si="12"/>
        <v>9.870740305522915</v>
      </c>
      <c r="H118" s="48">
        <f t="shared" si="16"/>
        <v>16.8</v>
      </c>
      <c r="I118" s="48">
        <f t="shared" si="14"/>
        <v>153.39999999999998</v>
      </c>
    </row>
    <row r="119" spans="1:9" s="2" customFormat="1" ht="18.75" hidden="1">
      <c r="A119" s="16" t="s">
        <v>25</v>
      </c>
      <c r="B119" s="77"/>
      <c r="C119" s="57"/>
      <c r="D119" s="76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5">
        <f t="shared" si="16"/>
        <v>0</v>
      </c>
      <c r="I119" s="65">
        <f t="shared" si="14"/>
        <v>0</v>
      </c>
    </row>
    <row r="120" spans="1:9" s="2" customFormat="1" ht="21.75" customHeight="1">
      <c r="A120" s="16" t="s">
        <v>44</v>
      </c>
      <c r="B120" s="77">
        <v>91.1</v>
      </c>
      <c r="C120" s="57">
        <v>204.9</v>
      </c>
      <c r="D120" s="80"/>
      <c r="E120" s="17">
        <f>D120/D106*100</f>
        <v>0</v>
      </c>
      <c r="F120" s="6">
        <f t="shared" si="15"/>
        <v>0</v>
      </c>
      <c r="G120" s="6">
        <f t="shared" si="12"/>
        <v>0</v>
      </c>
      <c r="H120" s="65">
        <f t="shared" si="16"/>
        <v>91.1</v>
      </c>
      <c r="I120" s="65">
        <f t="shared" si="14"/>
        <v>204.9</v>
      </c>
    </row>
    <row r="121" spans="1:9" s="110" customFormat="1" ht="18" hidden="1">
      <c r="A121" s="26" t="s">
        <v>100</v>
      </c>
      <c r="B121" s="78"/>
      <c r="C121" s="48"/>
      <c r="D121" s="79"/>
      <c r="E121" s="6"/>
      <c r="F121" s="1" t="e">
        <f>D121/B121*100</f>
        <v>#DIV/0!</v>
      </c>
      <c r="G121" s="1" t="e">
        <f t="shared" si="12"/>
        <v>#DIV/0!</v>
      </c>
      <c r="H121" s="48">
        <f t="shared" si="16"/>
        <v>0</v>
      </c>
      <c r="I121" s="48">
        <f t="shared" si="14"/>
        <v>0</v>
      </c>
    </row>
    <row r="122" spans="1:9" s="110" customFormat="1" ht="18" hidden="1">
      <c r="A122" s="26" t="s">
        <v>63</v>
      </c>
      <c r="B122" s="78"/>
      <c r="C122" s="48"/>
      <c r="D122" s="79"/>
      <c r="E122" s="6"/>
      <c r="F122" s="1" t="e">
        <f>D122/B122*100</f>
        <v>#DIV/0!</v>
      </c>
      <c r="G122" s="1" t="e">
        <f t="shared" si="12"/>
        <v>#DIV/0!</v>
      </c>
      <c r="H122" s="48">
        <f t="shared" si="16"/>
        <v>0</v>
      </c>
      <c r="I122" s="48">
        <f t="shared" si="14"/>
        <v>0</v>
      </c>
    </row>
    <row r="123" spans="1:9" s="2" customFormat="1" ht="37.5">
      <c r="A123" s="16" t="s">
        <v>48</v>
      </c>
      <c r="B123" s="77">
        <v>3794.5</v>
      </c>
      <c r="C123" s="57">
        <v>5096.9</v>
      </c>
      <c r="D123" s="80"/>
      <c r="E123" s="17">
        <f>D123/D106*100</f>
        <v>0</v>
      </c>
      <c r="F123" s="6">
        <f t="shared" si="15"/>
        <v>0</v>
      </c>
      <c r="G123" s="6">
        <f t="shared" si="12"/>
        <v>0</v>
      </c>
      <c r="H123" s="65">
        <f t="shared" si="16"/>
        <v>3794.5</v>
      </c>
      <c r="I123" s="65">
        <f t="shared" si="14"/>
        <v>5096.9</v>
      </c>
    </row>
    <row r="124" spans="1:9" s="2" customFormat="1" ht="56.25" hidden="1">
      <c r="A124" s="16" t="s">
        <v>55</v>
      </c>
      <c r="B124" s="77"/>
      <c r="C124" s="57"/>
      <c r="D124" s="80"/>
      <c r="E124" s="17">
        <f>D124/D106*100</f>
        <v>0</v>
      </c>
      <c r="F124" s="6" t="e">
        <f t="shared" si="15"/>
        <v>#DIV/0!</v>
      </c>
      <c r="G124" s="6" t="e">
        <f t="shared" si="12"/>
        <v>#DIV/0!</v>
      </c>
      <c r="H124" s="65">
        <f t="shared" si="16"/>
        <v>0</v>
      </c>
      <c r="I124" s="65">
        <f t="shared" si="14"/>
        <v>0</v>
      </c>
    </row>
    <row r="125" spans="1:9" s="2" customFormat="1" ht="18.75" hidden="1">
      <c r="A125" s="16" t="s">
        <v>96</v>
      </c>
      <c r="B125" s="77"/>
      <c r="C125" s="57"/>
      <c r="D125" s="80"/>
      <c r="E125" s="17">
        <f>D125/D106*100</f>
        <v>0</v>
      </c>
      <c r="F125" s="6" t="e">
        <f t="shared" si="15"/>
        <v>#DIV/0!</v>
      </c>
      <c r="G125" s="6" t="e">
        <f t="shared" si="12"/>
        <v>#DIV/0!</v>
      </c>
      <c r="H125" s="65">
        <f t="shared" si="16"/>
        <v>0</v>
      </c>
      <c r="I125" s="65">
        <f t="shared" si="14"/>
        <v>0</v>
      </c>
    </row>
    <row r="126" spans="1:9" s="2" customFormat="1" ht="37.5">
      <c r="A126" s="16" t="s">
        <v>105</v>
      </c>
      <c r="B126" s="77">
        <v>31.7</v>
      </c>
      <c r="C126" s="57">
        <v>95.1</v>
      </c>
      <c r="D126" s="80"/>
      <c r="E126" s="17">
        <f>D126/D106*100</f>
        <v>0</v>
      </c>
      <c r="F126" s="6">
        <f t="shared" si="15"/>
        <v>0</v>
      </c>
      <c r="G126" s="6">
        <f t="shared" si="12"/>
        <v>0</v>
      </c>
      <c r="H126" s="65">
        <f t="shared" si="16"/>
        <v>31.7</v>
      </c>
      <c r="I126" s="65">
        <f t="shared" si="14"/>
        <v>95.1</v>
      </c>
    </row>
    <row r="127" spans="1:9" s="2" customFormat="1" ht="37.5">
      <c r="A127" s="16" t="s">
        <v>76</v>
      </c>
      <c r="B127" s="77">
        <v>94.9</v>
      </c>
      <c r="C127" s="57">
        <v>983</v>
      </c>
      <c r="D127" s="80">
        <f>2.8+14.4</f>
        <v>17.2</v>
      </c>
      <c r="E127" s="17">
        <f>D127/D106*100</f>
        <v>0.05300625597090819</v>
      </c>
      <c r="F127" s="6">
        <f t="shared" si="15"/>
        <v>18.124341412012644</v>
      </c>
      <c r="G127" s="6">
        <f t="shared" si="12"/>
        <v>1.7497456765005086</v>
      </c>
      <c r="H127" s="65">
        <f t="shared" si="16"/>
        <v>77.7</v>
      </c>
      <c r="I127" s="65">
        <f t="shared" si="14"/>
        <v>965.8</v>
      </c>
    </row>
    <row r="128" spans="1:9" s="36" customFormat="1" ht="18">
      <c r="A128" s="26" t="s">
        <v>114</v>
      </c>
      <c r="B128" s="78">
        <v>80</v>
      </c>
      <c r="C128" s="48">
        <v>851.8</v>
      </c>
      <c r="D128" s="79">
        <f>2.8</f>
        <v>2.8</v>
      </c>
      <c r="E128" s="1">
        <f>D128/D127*100</f>
        <v>16.279069767441857</v>
      </c>
      <c r="F128" s="1">
        <f>D128/B128*100</f>
        <v>3.4999999999999996</v>
      </c>
      <c r="G128" s="1">
        <f t="shared" si="12"/>
        <v>0.3287156609532754</v>
      </c>
      <c r="H128" s="48">
        <f t="shared" si="16"/>
        <v>77.2</v>
      </c>
      <c r="I128" s="48">
        <f t="shared" si="14"/>
        <v>849</v>
      </c>
    </row>
    <row r="129" spans="1:9" s="2" customFormat="1" ht="18.75" hidden="1">
      <c r="A129" s="16" t="s">
        <v>71</v>
      </c>
      <c r="B129" s="77"/>
      <c r="C129" s="57"/>
      <c r="D129" s="80"/>
      <c r="E129" s="17">
        <f>D129/D106*100</f>
        <v>0</v>
      </c>
      <c r="F129" s="6" t="e">
        <f t="shared" si="15"/>
        <v>#DIV/0!</v>
      </c>
      <c r="G129" s="6" t="e">
        <f t="shared" si="12"/>
        <v>#DIV/0!</v>
      </c>
      <c r="H129" s="65">
        <f t="shared" si="16"/>
        <v>0</v>
      </c>
      <c r="I129" s="65">
        <f t="shared" si="14"/>
        <v>0</v>
      </c>
    </row>
    <row r="130" spans="1:9" s="36" customFormat="1" ht="18" hidden="1">
      <c r="A130" s="37" t="s">
        <v>53</v>
      </c>
      <c r="B130" s="78"/>
      <c r="C130" s="48"/>
      <c r="D130" s="79"/>
      <c r="E130" s="1"/>
      <c r="F130" s="1" t="e">
        <f>D130/B130*100</f>
        <v>#DIV/0!</v>
      </c>
      <c r="G130" s="1" t="e">
        <f t="shared" si="12"/>
        <v>#DIV/0!</v>
      </c>
      <c r="H130" s="48">
        <f t="shared" si="16"/>
        <v>0</v>
      </c>
      <c r="I130" s="48">
        <f t="shared" si="14"/>
        <v>0</v>
      </c>
    </row>
    <row r="131" spans="1:9" s="2" customFormat="1" ht="35.25" customHeight="1">
      <c r="A131" s="16" t="s">
        <v>70</v>
      </c>
      <c r="B131" s="77">
        <v>21.5</v>
      </c>
      <c r="C131" s="57">
        <v>64.1</v>
      </c>
      <c r="D131" s="80">
        <f>0.8</f>
        <v>0.8</v>
      </c>
      <c r="E131" s="17">
        <f>D131/D106*100</f>
        <v>0.0024654072544608462</v>
      </c>
      <c r="F131" s="6">
        <f t="shared" si="15"/>
        <v>3.7209302325581395</v>
      </c>
      <c r="G131" s="6">
        <f t="shared" si="12"/>
        <v>1.2480499219968801</v>
      </c>
      <c r="H131" s="65">
        <f t="shared" si="16"/>
        <v>20.7</v>
      </c>
      <c r="I131" s="65">
        <f t="shared" si="14"/>
        <v>63.3</v>
      </c>
    </row>
    <row r="132" spans="1:9" s="2" customFormat="1" ht="35.25" customHeight="1" hidden="1">
      <c r="A132" s="16" t="s">
        <v>72</v>
      </c>
      <c r="B132" s="77"/>
      <c r="C132" s="57"/>
      <c r="D132" s="80"/>
      <c r="E132" s="17">
        <f>D132/D106*100</f>
        <v>0</v>
      </c>
      <c r="F132" s="6" t="e">
        <f t="shared" si="15"/>
        <v>#DIV/0!</v>
      </c>
      <c r="G132" s="6" t="e">
        <f t="shared" si="12"/>
        <v>#DIV/0!</v>
      </c>
      <c r="H132" s="65">
        <f t="shared" si="16"/>
        <v>0</v>
      </c>
      <c r="I132" s="65">
        <f t="shared" si="14"/>
        <v>0</v>
      </c>
    </row>
    <row r="133" spans="1:9" s="2" customFormat="1" ht="35.25" customHeight="1">
      <c r="A133" s="16" t="s">
        <v>112</v>
      </c>
      <c r="B133" s="77">
        <v>59.2</v>
      </c>
      <c r="C133" s="57">
        <v>600</v>
      </c>
      <c r="D133" s="80"/>
      <c r="E133" s="17">
        <f>D133/D106*100</f>
        <v>0</v>
      </c>
      <c r="F133" s="6">
        <f t="shared" si="15"/>
        <v>0</v>
      </c>
      <c r="G133" s="6">
        <f t="shared" si="12"/>
        <v>0</v>
      </c>
      <c r="H133" s="65">
        <f t="shared" si="16"/>
        <v>59.2</v>
      </c>
      <c r="I133" s="65">
        <f t="shared" si="14"/>
        <v>600</v>
      </c>
    </row>
    <row r="134" spans="1:9" s="2" customFormat="1" ht="35.25" customHeight="1" hidden="1">
      <c r="A134" s="16" t="s">
        <v>113</v>
      </c>
      <c r="B134" s="77"/>
      <c r="C134" s="57"/>
      <c r="D134" s="80"/>
      <c r="E134" s="17">
        <f>D134/D106*100</f>
        <v>0</v>
      </c>
      <c r="F134" s="6" t="e">
        <f t="shared" si="15"/>
        <v>#DIV/0!</v>
      </c>
      <c r="G134" s="6" t="e">
        <f t="shared" si="12"/>
        <v>#DIV/0!</v>
      </c>
      <c r="H134" s="65">
        <f t="shared" si="16"/>
        <v>0</v>
      </c>
      <c r="I134" s="65">
        <f t="shared" si="14"/>
        <v>0</v>
      </c>
    </row>
    <row r="135" spans="1:9" s="2" customFormat="1" ht="37.5">
      <c r="A135" s="16" t="s">
        <v>104</v>
      </c>
      <c r="B135" s="77">
        <v>85.3</v>
      </c>
      <c r="C135" s="57">
        <v>363.7</v>
      </c>
      <c r="D135" s="80"/>
      <c r="E135" s="17">
        <f>D135/D106*100</f>
        <v>0</v>
      </c>
      <c r="F135" s="6">
        <f t="shared" si="15"/>
        <v>0</v>
      </c>
      <c r="G135" s="6">
        <f>D135/C135*100</f>
        <v>0</v>
      </c>
      <c r="H135" s="65">
        <f t="shared" si="16"/>
        <v>85.3</v>
      </c>
      <c r="I135" s="65">
        <f t="shared" si="14"/>
        <v>363.7</v>
      </c>
    </row>
    <row r="136" spans="1:9" s="36" customFormat="1" ht="18">
      <c r="A136" s="26" t="s">
        <v>32</v>
      </c>
      <c r="B136" s="78">
        <v>62.1</v>
      </c>
      <c r="C136" s="48">
        <v>218.8</v>
      </c>
      <c r="D136" s="79"/>
      <c r="E136" s="111" t="e">
        <f>D136/D135*100</f>
        <v>#DIV/0!</v>
      </c>
      <c r="F136" s="1">
        <f t="shared" si="15"/>
        <v>0</v>
      </c>
      <c r="G136" s="1">
        <f>D136/C136*100</f>
        <v>0</v>
      </c>
      <c r="H136" s="48">
        <f t="shared" si="16"/>
        <v>62.1</v>
      </c>
      <c r="I136" s="48">
        <f t="shared" si="14"/>
        <v>218.8</v>
      </c>
    </row>
    <row r="137" spans="1:9" s="2" customFormat="1" ht="18.75">
      <c r="A137" s="16" t="s">
        <v>31</v>
      </c>
      <c r="B137" s="77">
        <v>184.4</v>
      </c>
      <c r="C137" s="57">
        <v>1160.2</v>
      </c>
      <c r="D137" s="80">
        <f>26.5+42.3+30.1+3.6</f>
        <v>102.5</v>
      </c>
      <c r="E137" s="17">
        <f>D137/D106*100</f>
        <v>0.3158803044777959</v>
      </c>
      <c r="F137" s="6">
        <f t="shared" si="15"/>
        <v>55.58568329718005</v>
      </c>
      <c r="G137" s="6">
        <f t="shared" si="12"/>
        <v>8.834683675228408</v>
      </c>
      <c r="H137" s="65">
        <f t="shared" si="16"/>
        <v>81.9</v>
      </c>
      <c r="I137" s="65">
        <f t="shared" si="14"/>
        <v>1057.7</v>
      </c>
    </row>
    <row r="138" spans="1:9" s="36" customFormat="1" ht="18">
      <c r="A138" s="37" t="s">
        <v>53</v>
      </c>
      <c r="B138" s="78">
        <v>139.2</v>
      </c>
      <c r="C138" s="48">
        <v>886.2</v>
      </c>
      <c r="D138" s="79">
        <f>26.5+39.8+30.1</f>
        <v>96.4</v>
      </c>
      <c r="E138" s="1">
        <f>D138/D137*100</f>
        <v>94.04878048780489</v>
      </c>
      <c r="F138" s="1">
        <f aca="true" t="shared" si="17" ref="F138:F146">D138/B138*100</f>
        <v>69.2528735632184</v>
      </c>
      <c r="G138" s="1">
        <f t="shared" si="12"/>
        <v>10.877905664635524</v>
      </c>
      <c r="H138" s="48">
        <f t="shared" si="16"/>
        <v>42.79999999999998</v>
      </c>
      <c r="I138" s="48">
        <f t="shared" si="14"/>
        <v>789.8000000000001</v>
      </c>
    </row>
    <row r="139" spans="1:9" s="36" customFormat="1" ht="18">
      <c r="A139" s="26" t="s">
        <v>32</v>
      </c>
      <c r="B139" s="78">
        <v>15.3</v>
      </c>
      <c r="C139" s="48">
        <v>39.3</v>
      </c>
      <c r="D139" s="79"/>
      <c r="E139" s="1">
        <f>D139/D137*100</f>
        <v>0</v>
      </c>
      <c r="F139" s="1">
        <f t="shared" si="17"/>
        <v>0</v>
      </c>
      <c r="G139" s="1">
        <f>D139/C139*100</f>
        <v>0</v>
      </c>
      <c r="H139" s="48">
        <f t="shared" si="16"/>
        <v>15.3</v>
      </c>
      <c r="I139" s="48">
        <f t="shared" si="14"/>
        <v>39.3</v>
      </c>
    </row>
    <row r="140" spans="1:9" s="2" customFormat="1" ht="56.25" hidden="1">
      <c r="A140" s="20" t="s">
        <v>109</v>
      </c>
      <c r="B140" s="77"/>
      <c r="C140" s="57"/>
      <c r="D140" s="80"/>
      <c r="E140" s="17">
        <f>D140/D106*100</f>
        <v>0</v>
      </c>
      <c r="F140" s="107" t="e">
        <f t="shared" si="17"/>
        <v>#DIV/0!</v>
      </c>
      <c r="G140" s="6" t="e">
        <f t="shared" si="12"/>
        <v>#DIV/0!</v>
      </c>
      <c r="H140" s="65">
        <f t="shared" si="16"/>
        <v>0</v>
      </c>
      <c r="I140" s="65">
        <f t="shared" si="14"/>
        <v>0</v>
      </c>
    </row>
    <row r="141" spans="1:9" s="2" customFormat="1" ht="18.75" hidden="1">
      <c r="A141" s="20" t="s">
        <v>111</v>
      </c>
      <c r="B141" s="77"/>
      <c r="C141" s="57"/>
      <c r="D141" s="80"/>
      <c r="E141" s="17">
        <f>D141/D106*100</f>
        <v>0</v>
      </c>
      <c r="F141" s="107" t="e">
        <f>D141/B141*100</f>
        <v>#DIV/0!</v>
      </c>
      <c r="G141" s="6" t="e">
        <f t="shared" si="12"/>
        <v>#DIV/0!</v>
      </c>
      <c r="H141" s="65">
        <f t="shared" si="16"/>
        <v>0</v>
      </c>
      <c r="I141" s="65">
        <f t="shared" si="14"/>
        <v>0</v>
      </c>
    </row>
    <row r="142" spans="1:9" s="2" customFormat="1" ht="18.75">
      <c r="A142" s="20" t="s">
        <v>106</v>
      </c>
      <c r="B142" s="77">
        <v>1412.8</v>
      </c>
      <c r="C142" s="57">
        <v>16744</v>
      </c>
      <c r="D142" s="80">
        <f>112.8+55.6</f>
        <v>168.4</v>
      </c>
      <c r="E142" s="17">
        <f>D142/D106*100</f>
        <v>0.5189682270640081</v>
      </c>
      <c r="F142" s="107">
        <f t="shared" si="17"/>
        <v>11.919592298980747</v>
      </c>
      <c r="G142" s="6">
        <f t="shared" si="12"/>
        <v>1.005733397037745</v>
      </c>
      <c r="H142" s="65">
        <f t="shared" si="16"/>
        <v>1244.3999999999999</v>
      </c>
      <c r="I142" s="65">
        <f t="shared" si="14"/>
        <v>16575.6</v>
      </c>
    </row>
    <row r="143" spans="1:9" s="2" customFormat="1" ht="18.75" hidden="1">
      <c r="A143" s="20" t="s">
        <v>107</v>
      </c>
      <c r="B143" s="77"/>
      <c r="C143" s="57"/>
      <c r="D143" s="80"/>
      <c r="E143" s="17">
        <f>D143/D106*100</f>
        <v>0</v>
      </c>
      <c r="F143" s="107" t="e">
        <f t="shared" si="17"/>
        <v>#DIV/0!</v>
      </c>
      <c r="G143" s="6" t="e">
        <f t="shared" si="12"/>
        <v>#DIV/0!</v>
      </c>
      <c r="H143" s="65">
        <f t="shared" si="16"/>
        <v>0</v>
      </c>
      <c r="I143" s="65">
        <f t="shared" si="14"/>
        <v>0</v>
      </c>
    </row>
    <row r="144" spans="1:9" s="2" customFormat="1" ht="18.75">
      <c r="A144" s="16" t="s">
        <v>110</v>
      </c>
      <c r="B144" s="77">
        <v>2094</v>
      </c>
      <c r="C144" s="57">
        <v>6504.8</v>
      </c>
      <c r="D144" s="80">
        <f>2094</f>
        <v>2094</v>
      </c>
      <c r="E144" s="17">
        <f>D144/D106*100</f>
        <v>6.453203488551264</v>
      </c>
      <c r="F144" s="107">
        <f t="shared" si="17"/>
        <v>100</v>
      </c>
      <c r="G144" s="6">
        <f t="shared" si="12"/>
        <v>32.1916123478047</v>
      </c>
      <c r="H144" s="65">
        <f t="shared" si="16"/>
        <v>0</v>
      </c>
      <c r="I144" s="65">
        <f t="shared" si="14"/>
        <v>4410.8</v>
      </c>
    </row>
    <row r="145" spans="1:12" s="2" customFormat="1" ht="18.75" customHeight="1">
      <c r="A145" s="16" t="s">
        <v>97</v>
      </c>
      <c r="B145" s="77">
        <v>169.6</v>
      </c>
      <c r="C145" s="57">
        <v>602.7</v>
      </c>
      <c r="D145" s="80"/>
      <c r="E145" s="17">
        <f>D145/D106*100</f>
        <v>0</v>
      </c>
      <c r="F145" s="107">
        <f t="shared" si="17"/>
        <v>0</v>
      </c>
      <c r="G145" s="6">
        <f t="shared" si="12"/>
        <v>0</v>
      </c>
      <c r="H145" s="65">
        <f t="shared" si="16"/>
        <v>169.6</v>
      </c>
      <c r="I145" s="65">
        <f t="shared" si="14"/>
        <v>602.7</v>
      </c>
      <c r="K145" s="42"/>
      <c r="L145" s="42"/>
    </row>
    <row r="146" spans="1:12" s="2" customFormat="1" ht="19.5" customHeight="1">
      <c r="A146" s="16" t="s">
        <v>64</v>
      </c>
      <c r="B146" s="77">
        <v>26548.7</v>
      </c>
      <c r="C146" s="57">
        <v>298394.8</v>
      </c>
      <c r="D146" s="80">
        <f>26548.7</f>
        <v>26548.7</v>
      </c>
      <c r="E146" s="17">
        <f>D146/D106*100</f>
        <v>81.81669697063083</v>
      </c>
      <c r="F146" s="6">
        <f t="shared" si="17"/>
        <v>100</v>
      </c>
      <c r="G146" s="6">
        <f t="shared" si="12"/>
        <v>8.897172470833944</v>
      </c>
      <c r="H146" s="65">
        <f t="shared" si="16"/>
        <v>0</v>
      </c>
      <c r="I146" s="65">
        <f t="shared" si="14"/>
        <v>271846.1</v>
      </c>
      <c r="K146" s="99"/>
      <c r="L146" s="42"/>
    </row>
    <row r="147" spans="1:12" s="2" customFormat="1" ht="18.75">
      <c r="A147" s="16" t="s">
        <v>108</v>
      </c>
      <c r="B147" s="77">
        <v>4833.6</v>
      </c>
      <c r="C147" s="57">
        <v>29001.6</v>
      </c>
      <c r="D147" s="80">
        <f>805.6+805.6+805.6+805.6</f>
        <v>3222.4</v>
      </c>
      <c r="E147" s="17">
        <f>D147/D106*100</f>
        <v>9.930660420968287</v>
      </c>
      <c r="F147" s="6">
        <f t="shared" si="15"/>
        <v>66.66666666666666</v>
      </c>
      <c r="G147" s="6">
        <f t="shared" si="12"/>
        <v>11.111111111111112</v>
      </c>
      <c r="H147" s="65">
        <f t="shared" si="16"/>
        <v>1611.2000000000003</v>
      </c>
      <c r="I147" s="65">
        <f t="shared" si="14"/>
        <v>25779.199999999997</v>
      </c>
      <c r="K147" s="42"/>
      <c r="L147" s="42"/>
    </row>
    <row r="148" spans="1:12" s="2" customFormat="1" ht="19.5" thickBot="1">
      <c r="A148" s="38" t="s">
        <v>36</v>
      </c>
      <c r="B148" s="81">
        <f>B43+B68+B71+B76+B78+B86+B101+B106+B99+B83+B97</f>
        <v>43441.3</v>
      </c>
      <c r="C148" s="81">
        <f>C43+C68+C71+C76+C78+C86+C101+C106+C99+C83+C97</f>
        <v>376792.89999999997</v>
      </c>
      <c r="D148" s="57">
        <f>D43+D68+D71+D76+D78+D86+D101+D106+D99+D83+D97</f>
        <v>33048.8</v>
      </c>
      <c r="E148" s="17"/>
      <c r="F148" s="17"/>
      <c r="G148" s="6"/>
      <c r="H148" s="65"/>
      <c r="I148" s="57"/>
      <c r="K148" s="42"/>
      <c r="L148" s="42"/>
    </row>
    <row r="149" spans="1:12" ht="19.5" thickBot="1">
      <c r="A149" s="13" t="s">
        <v>19</v>
      </c>
      <c r="B149" s="51">
        <f>B6+B18+B33+B43+B51+B58+B68+B71+B76+B78+B86+B89+B94+B101+B106+B99+B83+B97+B45</f>
        <v>190326.59999999998</v>
      </c>
      <c r="C149" s="51">
        <f>C6+C18+C33+C43+C51+C58+C68+C71+C76+C78+C86+C89+C94+C101+C106+C99+C83+C97+C45</f>
        <v>1247667.2000000002</v>
      </c>
      <c r="D149" s="51">
        <f>D6+D18+D33+D43+D51+D58+D68+D71+D76+D78+D86+D89+D94+D101+D106+D99+D83+D97+D45</f>
        <v>127051.2</v>
      </c>
      <c r="E149" s="35">
        <v>100</v>
      </c>
      <c r="F149" s="3">
        <f>D149/B149*100</f>
        <v>66.75430549381957</v>
      </c>
      <c r="G149" s="3">
        <f aca="true" t="shared" si="18" ref="G149:G155">D149/C149*100</f>
        <v>10.183100108746947</v>
      </c>
      <c r="H149" s="51">
        <f aca="true" t="shared" si="19" ref="H149:H155">B149-D149</f>
        <v>63275.39999999998</v>
      </c>
      <c r="I149" s="51">
        <f aca="true" t="shared" si="20" ref="I149:I155">C149-D149</f>
        <v>1120616.0000000002</v>
      </c>
      <c r="K149" s="43"/>
      <c r="L149" s="44"/>
    </row>
    <row r="150" spans="1:12" ht="18.75">
      <c r="A150" s="20" t="s">
        <v>5</v>
      </c>
      <c r="B150" s="64">
        <f>B8+B20+B34+B52+B59+B90+B114+B118+B46+B138+B130+B102</f>
        <v>91765.09999999999</v>
      </c>
      <c r="C150" s="64">
        <f>C8+C20+C34+C52+C59+C90+C114+C118+C46+C138+C130+C102</f>
        <v>581359.5999999997</v>
      </c>
      <c r="D150" s="64">
        <f>D8+D20+D34+D52+D59+D90+D114+D118+D46+D138+D130+D102</f>
        <v>63614.4</v>
      </c>
      <c r="E150" s="6">
        <f>D150/D149*100</f>
        <v>50.06989308247384</v>
      </c>
      <c r="F150" s="6">
        <f aca="true" t="shared" si="21" ref="F150:F161">D150/B150*100</f>
        <v>69.32308688161403</v>
      </c>
      <c r="G150" s="6">
        <f t="shared" si="18"/>
        <v>10.942349623193635</v>
      </c>
      <c r="H150" s="65">
        <f t="shared" si="19"/>
        <v>28150.69999999999</v>
      </c>
      <c r="I150" s="76">
        <f t="shared" si="20"/>
        <v>517745.1999999997</v>
      </c>
      <c r="K150" s="43"/>
      <c r="L150" s="44"/>
    </row>
    <row r="151" spans="1:12" ht="18.75">
      <c r="A151" s="20" t="s">
        <v>0</v>
      </c>
      <c r="B151" s="65">
        <f>B11+B23+B36+B55+B61+B91+B49+B139+B108+B111+B95+B136</f>
        <v>26317.599999999995</v>
      </c>
      <c r="C151" s="65">
        <f>C11+C23+C36+C55+C61+C91+C49+C139+C108+C111+C95+C136</f>
        <v>114263.80000000002</v>
      </c>
      <c r="D151" s="65">
        <f>D11+D23+D36+D55+D61+D91+D49+D139+D108+D111+D95+D136</f>
        <v>13888.999999999998</v>
      </c>
      <c r="E151" s="6">
        <f>D151/D149*100</f>
        <v>10.931813316206378</v>
      </c>
      <c r="F151" s="6">
        <f t="shared" si="21"/>
        <v>52.77456910964526</v>
      </c>
      <c r="G151" s="6">
        <f t="shared" si="18"/>
        <v>12.155205760704611</v>
      </c>
      <c r="H151" s="65">
        <f t="shared" si="19"/>
        <v>12428.599999999997</v>
      </c>
      <c r="I151" s="76">
        <f t="shared" si="20"/>
        <v>100374.80000000002</v>
      </c>
      <c r="K151" s="43"/>
      <c r="L151" s="98"/>
    </row>
    <row r="152" spans="1:12" ht="18.75">
      <c r="A152" s="20" t="s">
        <v>1</v>
      </c>
      <c r="B152" s="64">
        <f>B22+B10+B54+B48+B60+B35+B122</f>
        <v>6175.7</v>
      </c>
      <c r="C152" s="64">
        <f>C22+C10+C54+C48+C60+C35+C122</f>
        <v>32660.300000000003</v>
      </c>
      <c r="D152" s="64">
        <f>D22+D10+D54+D48+D60+D35+D122</f>
        <v>1550.6</v>
      </c>
      <c r="E152" s="6">
        <f>D152/D149*100</f>
        <v>1.2204528568010375</v>
      </c>
      <c r="F152" s="6">
        <f t="shared" si="21"/>
        <v>25.108084913451105</v>
      </c>
      <c r="G152" s="6">
        <f t="shared" si="18"/>
        <v>4.747660003123057</v>
      </c>
      <c r="H152" s="65">
        <f t="shared" si="19"/>
        <v>4625.1</v>
      </c>
      <c r="I152" s="76">
        <f t="shared" si="20"/>
        <v>31109.700000000004</v>
      </c>
      <c r="K152" s="43"/>
      <c r="L152" s="44"/>
    </row>
    <row r="153" spans="1:12" ht="21" customHeight="1">
      <c r="A153" s="20" t="s">
        <v>15</v>
      </c>
      <c r="B153" s="64">
        <f>B12+B24+B103+B62+B38+B92+B128</f>
        <v>4221.3</v>
      </c>
      <c r="C153" s="64">
        <f>C12+C24+C103+C62+C38+C92+C128</f>
        <v>29295.7</v>
      </c>
      <c r="D153" s="64">
        <f>D12+D24+D103+D62+D38+D92+D128</f>
        <v>2040.6</v>
      </c>
      <c r="E153" s="6">
        <f>D153/D149*100</f>
        <v>1.6061241452264914</v>
      </c>
      <c r="F153" s="6">
        <f t="shared" si="21"/>
        <v>48.34055859569327</v>
      </c>
      <c r="G153" s="6">
        <f t="shared" si="18"/>
        <v>6.965527364084148</v>
      </c>
      <c r="H153" s="65">
        <f t="shared" si="19"/>
        <v>2180.7000000000003</v>
      </c>
      <c r="I153" s="76">
        <f t="shared" si="20"/>
        <v>27255.100000000002</v>
      </c>
      <c r="K153" s="43"/>
      <c r="L153" s="98"/>
    </row>
    <row r="154" spans="1:12" ht="18.75">
      <c r="A154" s="20" t="s">
        <v>2</v>
      </c>
      <c r="B154" s="64">
        <f>B9+B21+B47+B53+B121</f>
        <v>2148.1</v>
      </c>
      <c r="C154" s="64">
        <f>C9+C21+C47+C53+C121</f>
        <v>20553.1</v>
      </c>
      <c r="D154" s="64">
        <f>D9+D21+D47+D53+D121</f>
        <v>1372</v>
      </c>
      <c r="E154" s="6">
        <f>D154/D149*100</f>
        <v>1.0798796075912702</v>
      </c>
      <c r="F154" s="6">
        <f t="shared" si="21"/>
        <v>63.870397095107315</v>
      </c>
      <c r="G154" s="6">
        <f t="shared" si="18"/>
        <v>6.675392033318575</v>
      </c>
      <c r="H154" s="65">
        <f t="shared" si="19"/>
        <v>776.0999999999999</v>
      </c>
      <c r="I154" s="76">
        <f t="shared" si="20"/>
        <v>19181.1</v>
      </c>
      <c r="K154" s="43"/>
      <c r="L154" s="44"/>
    </row>
    <row r="155" spans="1:12" ht="19.5" thickBot="1">
      <c r="A155" s="20" t="s">
        <v>34</v>
      </c>
      <c r="B155" s="64">
        <f>B149-B150-B151-B152-B153-B154</f>
        <v>59698.799999999996</v>
      </c>
      <c r="C155" s="64">
        <f>C149-C150-C151-C152-C153-C154</f>
        <v>469534.7000000004</v>
      </c>
      <c r="D155" s="64">
        <f>D149-D150-D151-D152-D153-D154</f>
        <v>44584.6</v>
      </c>
      <c r="E155" s="6">
        <f>D155/D149*100</f>
        <v>35.09183699170098</v>
      </c>
      <c r="F155" s="6">
        <f t="shared" si="21"/>
        <v>74.68257318405061</v>
      </c>
      <c r="G155" s="40">
        <f t="shared" si="18"/>
        <v>9.495485637163762</v>
      </c>
      <c r="H155" s="65">
        <f t="shared" si="19"/>
        <v>15114.199999999997</v>
      </c>
      <c r="I155" s="65">
        <f t="shared" si="20"/>
        <v>424950.10000000044</v>
      </c>
      <c r="K155" s="43"/>
      <c r="L155" s="98"/>
    </row>
    <row r="156" spans="1:12" ht="5.25" customHeight="1" thickBot="1">
      <c r="A156" s="32"/>
      <c r="B156" s="82"/>
      <c r="C156" s="83"/>
      <c r="D156" s="83"/>
      <c r="E156" s="18"/>
      <c r="F156" s="18"/>
      <c r="G156" s="18"/>
      <c r="H156" s="18"/>
      <c r="I156" s="19"/>
      <c r="K156" s="43"/>
      <c r="L156" s="43"/>
    </row>
    <row r="157" spans="1:12" ht="18.75">
      <c r="A157" s="29" t="s">
        <v>21</v>
      </c>
      <c r="B157" s="84">
        <v>899.6</v>
      </c>
      <c r="C157" s="70">
        <v>11264.2</v>
      </c>
      <c r="D157" s="70">
        <f>33</f>
        <v>33</v>
      </c>
      <c r="E157" s="14"/>
      <c r="F157" s="6">
        <f t="shared" si="21"/>
        <v>3.6682970208981773</v>
      </c>
      <c r="G157" s="6">
        <f aca="true" t="shared" si="22" ref="G157:G166">D157/C157*100</f>
        <v>0.29296354823245324</v>
      </c>
      <c r="H157" s="6">
        <f>B157-D157</f>
        <v>866.6</v>
      </c>
      <c r="I157" s="6">
        <f aca="true" t="shared" si="23" ref="I157:I166">C157-D157</f>
        <v>11231.2</v>
      </c>
      <c r="K157" s="43"/>
      <c r="L157" s="43"/>
    </row>
    <row r="158" spans="1:12" ht="18.75" hidden="1">
      <c r="A158" s="20" t="s">
        <v>22</v>
      </c>
      <c r="B158" s="85"/>
      <c r="C158" s="64"/>
      <c r="D158" s="64"/>
      <c r="E158" s="6"/>
      <c r="F158" s="6" t="e">
        <f t="shared" si="21"/>
        <v>#DIV/0!</v>
      </c>
      <c r="G158" s="6" t="e">
        <f t="shared" si="22"/>
        <v>#DIV/0!</v>
      </c>
      <c r="H158" s="6">
        <f aca="true" t="shared" si="24" ref="H158:H165">B158-D158</f>
        <v>0</v>
      </c>
      <c r="I158" s="6">
        <f t="shared" si="23"/>
        <v>0</v>
      </c>
      <c r="K158" s="43"/>
      <c r="L158" s="43"/>
    </row>
    <row r="159" spans="1:12" ht="18.75">
      <c r="A159" s="20" t="s">
        <v>60</v>
      </c>
      <c r="B159" s="85">
        <v>2834</v>
      </c>
      <c r="C159" s="64">
        <v>253351.6</v>
      </c>
      <c r="D159" s="64"/>
      <c r="E159" s="6"/>
      <c r="F159" s="6">
        <f t="shared" si="21"/>
        <v>0</v>
      </c>
      <c r="G159" s="6">
        <f t="shared" si="22"/>
        <v>0</v>
      </c>
      <c r="H159" s="6">
        <f t="shared" si="24"/>
        <v>2834</v>
      </c>
      <c r="I159" s="6">
        <f t="shared" si="23"/>
        <v>253351.6</v>
      </c>
      <c r="K159" s="43"/>
      <c r="L159" s="43"/>
    </row>
    <row r="160" spans="1:12" ht="37.5" hidden="1">
      <c r="A160" s="20" t="s">
        <v>69</v>
      </c>
      <c r="B160" s="85"/>
      <c r="C160" s="64"/>
      <c r="D160" s="64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3"/>
      <c r="L160" s="43"/>
    </row>
    <row r="161" spans="1:12" ht="18.75">
      <c r="A161" s="20" t="s">
        <v>13</v>
      </c>
      <c r="B161" s="85">
        <v>2004.9</v>
      </c>
      <c r="C161" s="64">
        <v>9501</v>
      </c>
      <c r="D161" s="64"/>
      <c r="E161" s="17"/>
      <c r="F161" s="6">
        <f t="shared" si="21"/>
        <v>0</v>
      </c>
      <c r="G161" s="6">
        <f t="shared" si="22"/>
        <v>0</v>
      </c>
      <c r="H161" s="6">
        <f t="shared" si="24"/>
        <v>2004.9</v>
      </c>
      <c r="I161" s="6">
        <f t="shared" si="23"/>
        <v>9501</v>
      </c>
      <c r="K161" s="43"/>
      <c r="L161" s="43"/>
    </row>
    <row r="162" spans="1:12" ht="18.75" hidden="1">
      <c r="A162" s="20" t="s">
        <v>26</v>
      </c>
      <c r="B162" s="85"/>
      <c r="C162" s="64"/>
      <c r="D162" s="64"/>
      <c r="E162" s="17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3"/>
      <c r="L162" s="43"/>
    </row>
    <row r="163" spans="1:9" ht="19.5" thickBot="1">
      <c r="A163" s="20" t="s">
        <v>52</v>
      </c>
      <c r="B163" s="85">
        <v>0</v>
      </c>
      <c r="C163" s="64">
        <v>1693</v>
      </c>
      <c r="D163" s="64"/>
      <c r="E163" s="17"/>
      <c r="F163" s="133" t="e">
        <f>D163/B163*100</f>
        <v>#DIV/0!</v>
      </c>
      <c r="G163" s="6">
        <f t="shared" si="22"/>
        <v>0</v>
      </c>
      <c r="H163" s="6">
        <f t="shared" si="24"/>
        <v>0</v>
      </c>
      <c r="I163" s="6">
        <f t="shared" si="23"/>
        <v>1693</v>
      </c>
    </row>
    <row r="164" spans="1:9" ht="19.5" customHeight="1" hidden="1">
      <c r="A164" s="20" t="s">
        <v>67</v>
      </c>
      <c r="B164" s="85"/>
      <c r="C164" s="64"/>
      <c r="D164" s="64"/>
      <c r="E164" s="17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0" t="s">
        <v>61</v>
      </c>
      <c r="B165" s="85"/>
      <c r="C165" s="86"/>
      <c r="D165" s="86"/>
      <c r="E165" s="21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thickBot="1">
      <c r="A166" s="13" t="s">
        <v>20</v>
      </c>
      <c r="B166" s="87">
        <f>B149+B157+B161+B162+B158+B165+B164+B159+B163+B160</f>
        <v>196065.09999999998</v>
      </c>
      <c r="C166" s="87">
        <f>C149+C157+C161+C162+C158+C165+C164+C159+C163+C160</f>
        <v>1523477.0000000002</v>
      </c>
      <c r="D166" s="87">
        <f>D149+D157+D161+D162+D158+D165+D164+D159+D163+D160</f>
        <v>127084.2</v>
      </c>
      <c r="E166" s="22"/>
      <c r="F166" s="3">
        <f>D166/B166*100</f>
        <v>64.81734893155387</v>
      </c>
      <c r="G166" s="3">
        <f t="shared" si="22"/>
        <v>8.341720944917446</v>
      </c>
      <c r="H166" s="3">
        <f>B166-D166</f>
        <v>68980.89999999998</v>
      </c>
      <c r="I166" s="3">
        <f t="shared" si="23"/>
        <v>1396392.8000000003</v>
      </c>
    </row>
    <row r="167" spans="7:8" ht="12.75">
      <c r="G167" s="23"/>
      <c r="H167" s="23"/>
    </row>
    <row r="168" spans="7:9" ht="12.75">
      <c r="G168" s="23"/>
      <c r="H168" s="23"/>
      <c r="I168" s="23"/>
    </row>
    <row r="169" spans="7:8" ht="12.75">
      <c r="G169" s="23"/>
      <c r="H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1247667.2000000002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127051.2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0" sqref="P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T17" sqref="T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18" sqref="Q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18" sqref="R18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19" sqref="P1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1247667.2000000002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127051.2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2016-02-16T07:32:28Z</cp:lastPrinted>
  <dcterms:created xsi:type="dcterms:W3CDTF">2000-06-20T04:48:00Z</dcterms:created>
  <dcterms:modified xsi:type="dcterms:W3CDTF">2016-02-19T06:15:45Z</dcterms:modified>
  <cp:category/>
  <cp:version/>
  <cp:contentType/>
  <cp:contentStatus/>
</cp:coreProperties>
</file>